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5600" windowHeight="6855"/>
  </bookViews>
  <sheets>
    <sheet name="Bieu 2" sheetId="2" r:id="rId1"/>
    <sheet name="Bieu 3" sheetId="20" r:id="rId2"/>
    <sheet name="Bieu 4" sheetId="3" r:id="rId3"/>
    <sheet name="Sheet1" sheetId="21" r:id="rId4"/>
  </sheets>
  <externalReferences>
    <externalReference r:id="rId5"/>
    <externalReference r:id="rId6"/>
  </externalReferences>
  <definedNames>
    <definedName name="_xlnm.Print_Titles" localSheetId="0">'Bieu 2'!$8:$8</definedName>
    <definedName name="_xlnm.Print_Titles" localSheetId="1">'Bieu 3'!$8:$9</definedName>
    <definedName name="_xlnm.Print_Titles" localSheetId="2">'Bieu 4'!$9:$10</definedName>
  </definedNames>
  <calcPr calcId="144525"/>
</workbook>
</file>

<file path=xl/calcChain.xml><?xml version="1.0" encoding="utf-8"?>
<calcChain xmlns="http://schemas.openxmlformats.org/spreadsheetml/2006/main">
  <c r="C12" i="3" l="1"/>
  <c r="D12" i="3"/>
  <c r="D11" i="3"/>
  <c r="C18" i="3" l="1"/>
  <c r="C19" i="3"/>
  <c r="C125" i="3"/>
  <c r="C83" i="20"/>
  <c r="D31" i="20"/>
  <c r="D27" i="20"/>
  <c r="E27" i="20"/>
  <c r="F27" i="20"/>
  <c r="C82" i="20"/>
  <c r="C80" i="20"/>
  <c r="C94" i="20"/>
  <c r="C29" i="2"/>
  <c r="D85" i="20" l="1"/>
  <c r="D84" i="20" s="1"/>
  <c r="D74" i="20"/>
  <c r="D62" i="20"/>
  <c r="D57" i="20"/>
  <c r="D39" i="20"/>
  <c r="D28" i="20"/>
  <c r="C41" i="2" l="1"/>
  <c r="D31" i="3"/>
  <c r="C31" i="3"/>
  <c r="D117" i="20"/>
  <c r="C117" i="20"/>
  <c r="D123" i="3"/>
  <c r="C20" i="3"/>
  <c r="D120" i="20"/>
  <c r="C120" i="20"/>
  <c r="D115" i="20"/>
  <c r="C115" i="20"/>
  <c r="D113" i="20"/>
  <c r="C113" i="20"/>
  <c r="C111" i="20"/>
  <c r="C110" i="20" s="1"/>
  <c r="D110" i="20"/>
  <c r="C109" i="20"/>
  <c r="C107" i="20" s="1"/>
  <c r="D107" i="20"/>
  <c r="D105" i="20"/>
  <c r="C105" i="20"/>
  <c r="C101" i="20"/>
  <c r="D100" i="20"/>
  <c r="D97" i="20" s="1"/>
  <c r="D96" i="20" s="1"/>
  <c r="C98" i="20"/>
  <c r="E97" i="20"/>
  <c r="E96" i="20" s="1"/>
  <c r="C92" i="20"/>
  <c r="C91" i="20"/>
  <c r="C88" i="20"/>
  <c r="D83" i="20"/>
  <c r="C81" i="20"/>
  <c r="C76" i="20"/>
  <c r="D73" i="20"/>
  <c r="D71" i="20"/>
  <c r="C71" i="20"/>
  <c r="D70" i="20"/>
  <c r="D67" i="20" s="1"/>
  <c r="C70" i="20"/>
  <c r="C69" i="20"/>
  <c r="C66" i="20"/>
  <c r="C65" i="20"/>
  <c r="C64" i="20"/>
  <c r="C63" i="20"/>
  <c r="C59" i="20"/>
  <c r="C58" i="20"/>
  <c r="C56" i="20"/>
  <c r="C55" i="20"/>
  <c r="C54" i="20"/>
  <c r="C53" i="20"/>
  <c r="C52" i="20"/>
  <c r="D51" i="20"/>
  <c r="D50" i="20" s="1"/>
  <c r="C51" i="20"/>
  <c r="C50" i="20"/>
  <c r="C49" i="20"/>
  <c r="C48" i="20"/>
  <c r="D47" i="20"/>
  <c r="D46" i="20" s="1"/>
  <c r="C47" i="20"/>
  <c r="C46" i="20" s="1"/>
  <c r="D45" i="20"/>
  <c r="D44" i="20" s="1"/>
  <c r="C45" i="20"/>
  <c r="C44" i="20" s="1"/>
  <c r="C38" i="20"/>
  <c r="C37" i="20"/>
  <c r="C36" i="20"/>
  <c r="C35" i="20"/>
  <c r="C34" i="20"/>
  <c r="D33" i="20"/>
  <c r="C32" i="20"/>
  <c r="C31" i="20" s="1"/>
  <c r="C30" i="20"/>
  <c r="C29" i="20"/>
  <c r="C28" i="20" s="1"/>
  <c r="C10" i="20"/>
  <c r="A3" i="20"/>
  <c r="A2" i="20"/>
  <c r="C39" i="2"/>
  <c r="C34" i="2"/>
  <c r="C28" i="2"/>
  <c r="C21" i="2"/>
  <c r="C23" i="2" s="1"/>
  <c r="C19" i="2" s="1"/>
  <c r="C20" i="2"/>
  <c r="C10" i="2"/>
  <c r="C9" i="2" s="1"/>
  <c r="C62" i="20" l="1"/>
  <c r="D81" i="20"/>
  <c r="C104" i="20"/>
  <c r="C33" i="20"/>
  <c r="C57" i="20"/>
  <c r="C74" i="20"/>
  <c r="C85" i="20"/>
  <c r="C84" i="20" s="1"/>
  <c r="C102" i="20"/>
  <c r="C67" i="20"/>
  <c r="C40" i="20"/>
  <c r="C41" i="20"/>
  <c r="C42" i="20"/>
  <c r="D13" i="20"/>
  <c r="C43" i="20"/>
  <c r="C103" i="20"/>
  <c r="D20" i="3"/>
  <c r="D19" i="3" s="1"/>
  <c r="D18" i="3"/>
  <c r="D15" i="3"/>
  <c r="D14" i="3" s="1"/>
  <c r="D13" i="3" s="1"/>
  <c r="C39" i="20" l="1"/>
  <c r="C27" i="20" s="1"/>
  <c r="C100" i="20"/>
  <c r="C97" i="20" s="1"/>
  <c r="C96" i="20" s="1"/>
  <c r="E13" i="20"/>
  <c r="E11" i="20" s="1"/>
  <c r="E10" i="20" s="1"/>
  <c r="D11" i="20"/>
  <c r="D10" i="20" s="1"/>
  <c r="E118" i="21" l="1"/>
  <c r="E66" i="21"/>
  <c r="D60" i="21"/>
  <c r="D153" i="21"/>
  <c r="D151" i="21"/>
  <c r="D150" i="21"/>
  <c r="D145" i="21"/>
  <c r="D144" i="21"/>
  <c r="D142" i="21"/>
  <c r="D140" i="21"/>
  <c r="D138" i="21"/>
  <c r="D129" i="21" s="1"/>
  <c r="D128" i="21" s="1"/>
  <c r="D127" i="21" s="1"/>
  <c r="D137" i="21"/>
  <c r="D135" i="21"/>
  <c r="D133" i="21"/>
  <c r="D132" i="21"/>
  <c r="D131" i="21"/>
  <c r="D130" i="21"/>
  <c r="D123" i="21"/>
  <c r="D122" i="21"/>
  <c r="D120" i="21"/>
  <c r="D118" i="21"/>
  <c r="D114" i="21" s="1"/>
  <c r="D115" i="21"/>
  <c r="D111" i="21"/>
  <c r="D109" i="21"/>
  <c r="D108" i="21"/>
  <c r="D105" i="21"/>
  <c r="D101" i="21"/>
  <c r="D92" i="21"/>
  <c r="D91" i="21"/>
  <c r="D83" i="21"/>
  <c r="D82" i="21"/>
  <c r="D80" i="21"/>
  <c r="D77" i="21"/>
  <c r="D72" i="21"/>
  <c r="D68" i="21"/>
  <c r="D58" i="21"/>
  <c r="D57" i="21"/>
  <c r="D54" i="21"/>
  <c r="D51" i="21" s="1"/>
  <c r="G50" i="21"/>
  <c r="G51" i="21" s="1"/>
  <c r="D50" i="21"/>
  <c r="G48" i="21"/>
  <c r="D48" i="21"/>
  <c r="G49" i="21" s="1"/>
  <c r="G47" i="21"/>
  <c r="D47" i="21"/>
  <c r="D43" i="21"/>
  <c r="D42" i="21"/>
  <c r="G41" i="21"/>
  <c r="D41" i="21"/>
  <c r="D40" i="21"/>
  <c r="D39" i="21"/>
  <c r="D38" i="21"/>
  <c r="D37" i="21"/>
  <c r="D36" i="21"/>
  <c r="D35" i="21"/>
  <c r="D34" i="21"/>
  <c r="D33" i="21"/>
  <c r="D32" i="21"/>
  <c r="D31" i="21"/>
  <c r="G30" i="21"/>
  <c r="D30" i="21"/>
  <c r="D28" i="21" s="1"/>
  <c r="G29" i="21"/>
  <c r="D29" i="21"/>
  <c r="G27" i="21"/>
  <c r="D27" i="21"/>
  <c r="D26" i="21"/>
  <c r="D20" i="21"/>
  <c r="D19" i="21"/>
  <c r="D18" i="21"/>
  <c r="D17" i="21"/>
  <c r="D14" i="21" s="1"/>
  <c r="D16" i="21"/>
  <c r="D15" i="21"/>
  <c r="D13" i="21"/>
  <c r="D10" i="21" s="1"/>
  <c r="D12" i="21"/>
  <c r="D11" i="21"/>
  <c r="D9" i="21" l="1"/>
  <c r="D25" i="21"/>
  <c r="D113" i="21"/>
  <c r="D46" i="21"/>
  <c r="D125" i="21" s="1"/>
  <c r="G28" i="21" l="1"/>
  <c r="G31" i="21"/>
  <c r="D8" i="21"/>
  <c r="D157" i="21" s="1"/>
  <c r="C135" i="3" l="1"/>
  <c r="C140" i="3" l="1"/>
  <c r="C123" i="3" s="1"/>
  <c r="A3" i="3" l="1"/>
  <c r="A2" i="3"/>
</calcChain>
</file>

<file path=xl/sharedStrings.xml><?xml version="1.0" encoding="utf-8"?>
<sst xmlns="http://schemas.openxmlformats.org/spreadsheetml/2006/main" count="558" uniqueCount="313">
  <si>
    <t>A</t>
  </si>
  <si>
    <t>I</t>
  </si>
  <si>
    <t>Tổng số thu</t>
  </si>
  <si>
    <t>Thu hoạt động SX, cung ứng dịch vụ</t>
  </si>
  <si>
    <t>II</t>
  </si>
  <si>
    <t>B</t>
  </si>
  <si>
    <t>(Dùng cho đơn vị dự toán cấp trên và đơn vị</t>
  </si>
  <si>
    <t>Quyết toán thu</t>
  </si>
  <si>
    <t>Nội dung</t>
  </si>
  <si>
    <t xml:space="preserve">Số 
TT </t>
  </si>
  <si>
    <t>Chi quản lý hành chính</t>
  </si>
  <si>
    <t>Dự toán được giao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</si>
  <si>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</si>
  <si>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</si>
  <si>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</si>
  <si>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</si>
  <si>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</si>
  <si>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</si>
  <si>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</si>
  <si>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dự toán sử dụng ngân sách nhà nước)</t>
  </si>
  <si>
    <t>So sánh (%)</t>
  </si>
  <si>
    <t>Dự toán</t>
  </si>
  <si>
    <t>Cùng kỳ 
năm trước</t>
  </si>
  <si>
    <t>(Dùng cho đơn vị sử dụng ngân sách)</t>
  </si>
  <si>
    <t>Dự toán năm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</si>
  <si>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</si>
  <si>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</si>
  <si>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</si>
  <si>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</si>
  <si>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</si>
  <si>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</si>
  <si>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</si>
  <si>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</si>
  <si>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nghiệp………………….</t>
  </si>
  <si>
    <t>a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</si>
  <si>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</si>
  <si>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</si>
  <si>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</si>
  <si>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</si>
  <si>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</si>
  <si>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</si>
  <si>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</si>
  <si>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</si>
  <si>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</si>
  <si>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Chi từ nguồn thu được để lại</t>
  </si>
  <si>
    <t>Thủ trưởng đơn vị</t>
  </si>
  <si>
    <t>Quỹ 
lương</t>
  </si>
  <si>
    <t xml:space="preserve"> Chương: 622</t>
  </si>
  <si>
    <t xml:space="preserve"> Biểu số 2 - Ban hành kèm theo Thông tư số 61/2017/TT-BTC ngày 15 tháng 6 năm 2017
 của Bộ Tài chính</t>
  </si>
  <si>
    <t>Đvt: đồng</t>
  </si>
  <si>
    <t>Học phí: 60.000đ/hs/tháng</t>
  </si>
  <si>
    <t>Kinh phí nhiệm vụ thường xuyên</t>
  </si>
  <si>
    <t xml:space="preserve">Kinh phí thực hiện chế độ tự chủ </t>
  </si>
  <si>
    <t>Chi mua sắm, sửa chữa</t>
  </si>
  <si>
    <t>Chi khác</t>
  </si>
  <si>
    <t>Chi thanh toán cá nhân</t>
  </si>
  <si>
    <t>Chi sự nghiệp giáo dục</t>
  </si>
  <si>
    <t>10% tiết kiệm bổ sung CCTL</t>
  </si>
  <si>
    <t>Chi hoạt động TX, sửa chữa TX</t>
  </si>
  <si>
    <t>Chi nghiệp vụ chuyên môn</t>
  </si>
  <si>
    <t>III</t>
  </si>
  <si>
    <t>Nhân đạo</t>
  </si>
  <si>
    <t>Hội PHHS</t>
  </si>
  <si>
    <t>BH tai nạn</t>
  </si>
  <si>
    <t>BHYT</t>
  </si>
  <si>
    <t>10,8% CSSKBĐ</t>
  </si>
  <si>
    <t>Qũy phát triển sự nghiệp</t>
  </si>
  <si>
    <t>Qũy phúc lợi</t>
  </si>
  <si>
    <t>Qũy khen thưởng</t>
  </si>
  <si>
    <t>Người lập biểu                                                                               Thủ trưởng đơn vị</t>
  </si>
  <si>
    <t xml:space="preserve"> Biểu số 3 - Ban hành kèm theo Thông tư số 61/2017/TT-BTC ngày 15 tháng 6 năm 2017 
của Bộ Tài chính</t>
  </si>
  <si>
    <t>ĐV tính: đồng</t>
  </si>
  <si>
    <t>Các khoản đóng góp</t>
  </si>
  <si>
    <t>Phụ cấp lương</t>
  </si>
  <si>
    <t>Thanh toán cá nhân</t>
  </si>
  <si>
    <t>Văn phòng phẩm</t>
  </si>
  <si>
    <t>Thông tin liên lạc</t>
  </si>
  <si>
    <t>Công tác phí</t>
  </si>
  <si>
    <t>Thuê mướn</t>
  </si>
  <si>
    <t>Đào tạo</t>
  </si>
  <si>
    <t>Chi mua sắm, SC lớn (029)</t>
  </si>
  <si>
    <t>Thừa giờ</t>
  </si>
  <si>
    <t>Người lập biểu</t>
  </si>
  <si>
    <t xml:space="preserve"> Biểu số 4 - Ban hành kèm theo Thông tư số 61/2017/TT-BTC ngày 15 tháng 6 năm 2017 
của Bộ Tài chính</t>
  </si>
  <si>
    <t>Quỹ trích lập (tiền gửi)</t>
  </si>
  <si>
    <t xml:space="preserve">          ĐV tính: đồng</t>
  </si>
  <si>
    <t>Chi thanh toán cá nhân (40%)</t>
  </si>
  <si>
    <t>Chi hoạt động chuyên môn (TGTB 30%)</t>
  </si>
  <si>
    <t>Chi khác (tiền tết 30%)</t>
  </si>
  <si>
    <t>Tu sửa phòng học</t>
  </si>
  <si>
    <t>Quỹ bán trú (tháng 3/2019)</t>
  </si>
  <si>
    <t>Quản sinh</t>
  </si>
  <si>
    <t>Lau dọn phòng hs</t>
  </si>
  <si>
    <t>Buổi 2</t>
  </si>
  <si>
    <t>Tiền ăn</t>
  </si>
  <si>
    <t>Phù hiệu</t>
  </si>
  <si>
    <t>Sổ liên lạc điện tử</t>
  </si>
  <si>
    <t>Tên đơn vị : TRƯỜNG THCS LÊ QUÝ ĐÔN</t>
  </si>
  <si>
    <t>MS ĐVSDNS: 1030771</t>
  </si>
  <si>
    <t>DỰ TOÁN NĂM 2019 ( ĐÃ GIAO DỰ TOÁN)</t>
  </si>
  <si>
    <t>Tổng số GV-CNV: 71, Nghị định 68: 05 người, hợp đồng ngoài khoán : 02 người</t>
  </si>
  <si>
    <t>Tổng số học sinh: 1685 HS</t>
  </si>
  <si>
    <t>Số lớp: 37 lớp</t>
  </si>
  <si>
    <t xml:space="preserve">MỤC </t>
  </si>
  <si>
    <t xml:space="preserve">TM </t>
  </si>
  <si>
    <t xml:space="preserve">NỘI DUNG </t>
  </si>
  <si>
    <t>SỐ TIỀN</t>
  </si>
  <si>
    <t>DUYỆT CỦA CƠ QUAN CẤP TRÊN</t>
  </si>
  <si>
    <t>GHI CHÚ</t>
  </si>
  <si>
    <t xml:space="preserve">NGUỒN 13 </t>
  </si>
  <si>
    <t>NGUỒN KINH PHÍ TỰ CHỦ</t>
  </si>
  <si>
    <t>Thanh toán cá  nhân</t>
  </si>
  <si>
    <t>Lương</t>
  </si>
  <si>
    <t>01</t>
  </si>
  <si>
    <t>Chi lương BC : 178,09 x 12 tháng</t>
  </si>
  <si>
    <t>03</t>
  </si>
  <si>
    <t>Chi lương HĐ : 79,79 x 12tháng</t>
  </si>
  <si>
    <t>Chi lương theo NĐ 68: 8,84 X 12 tháng</t>
  </si>
  <si>
    <t>Chi PCCV: 4,25 x 12tháng</t>
  </si>
  <si>
    <t>12</t>
  </si>
  <si>
    <t>Chi PCƯĐ: 67,68435 x 12tháng</t>
  </si>
  <si>
    <t xml:space="preserve">Chi PCTN: 0.3x 12 tháng </t>
  </si>
  <si>
    <t>Phụ cấp thâm niên: 42,94557*12 tháng</t>
  </si>
  <si>
    <t xml:space="preserve">Chi PCVK: 1,8825 x 12tháng </t>
  </si>
  <si>
    <t>BHXH : 17,5% (BC+HĐ+PCCV+PCVK)</t>
  </si>
  <si>
    <t>02</t>
  </si>
  <si>
    <t>BHYT: 3% (BC+HĐ+PCCV+PCVK)</t>
  </si>
  <si>
    <t>KPCĐ: 2% (BC+HĐ+PCCV+PCVK)</t>
  </si>
  <si>
    <t>04</t>
  </si>
  <si>
    <t>BHTN: 1% (BC+HĐ+PCCV+PC TN)</t>
  </si>
  <si>
    <t>Hỗ trợ 0,1% GV dạy thể dục:  37lớp *36 tuần *2 tiết/tuần * 13,900đ/tiết</t>
  </si>
  <si>
    <t>Thanh toán dịch vụ công cộng</t>
  </si>
  <si>
    <t>Tiền điện: 12.000.000*12tháng</t>
  </si>
  <si>
    <t>Tiền xăng chạy máy nổ, cắt cỏ: 20lít/tháng *15,000đ/lít * 12 tháng</t>
  </si>
  <si>
    <t>Rác sinh hoạt: 120.000đ/tháng*12tháng</t>
  </si>
  <si>
    <t xml:space="preserve">Văn phòng phẩm </t>
  </si>
  <si>
    <t>Giấy A4 phục vụ cho giáo viên</t>
  </si>
  <si>
    <t>Giấy A3 phục vụ giáo viên</t>
  </si>
  <si>
    <t>Giấy A4 phục vụ học sinh photo đề kiểm tra</t>
  </si>
  <si>
    <t>Hồ dán, viết, bìa mũ lá, bìa nút, bìa 3 dây, kim bấm, kẹp,…..</t>
  </si>
  <si>
    <t>Bơm mực máy in: 10 máy * 3lần/năm*160.000đ/lần</t>
  </si>
  <si>
    <t>Thay mực máy photo: 02máy * 5lần/năm*1,000.000 đ/lần</t>
  </si>
  <si>
    <t>Mực pho to đề thi đề kiểm tra cho học sinh: 15 lần/ năm</t>
  </si>
  <si>
    <t>Tiền điện thoại: 02 máy * 150.000đ/tháng*12 tháng</t>
  </si>
  <si>
    <t>08</t>
  </si>
  <si>
    <t>Tiền báo: 750.000đ/1 quý * 4 quý</t>
  </si>
  <si>
    <t>05</t>
  </si>
  <si>
    <t>Cước phí internet: 660.000đ/tháng *12 tháng</t>
  </si>
  <si>
    <t>Khoán điện thoại: 02 người*200.000đ/tháng*12 tháng</t>
  </si>
  <si>
    <t>Thông tin liên lạc khác</t>
  </si>
  <si>
    <t>Tiền tàu xe:  7.000 lượt *14,000đồng.lượt</t>
  </si>
  <si>
    <t>Phụ cấp công tác phí: 3.300 lượt * 50.000đồng/lượt</t>
  </si>
  <si>
    <t>Thuê phòng: 50 lượt * 400,000đồng/lượt</t>
  </si>
  <si>
    <t>Tiền khoán công tác phí: 500.000 đồng/3người * 12 tháng</t>
  </si>
  <si>
    <t>Hỗ trợ thuê xe chở bàn ghế học sinh, hỗ trợ thuê xe chở Hs thi các hội thi</t>
  </si>
  <si>
    <t>Hỗ trợ thuê xe chở học sinh đi học bơi: 700 HS *5,000 đồng/HS/lượt *12 lượt</t>
  </si>
  <si>
    <t>Thuê đào tạo: 02 GV học tại ĐHQT MĐ * 4,000,000 đ/năm</t>
  </si>
  <si>
    <t>Thuê công chăm sóc cây xanh, tỉa cây, bón phân: 1.000.000 đồng/tháng * 12 tháng</t>
  </si>
  <si>
    <t>Thuê công dọn sân trường, cổng trường, hỗ trợ lau dọn 7 nhà vệ sinh học sinh, dọn rác đỗ rác cho học sinh : 2.500.000 đồng/tháng * 9 tháng</t>
  </si>
  <si>
    <t>Thuê công quét vệ sinh lớp học: 05 công *1.500.000 đồng/tháng * 9 tháng</t>
  </si>
  <si>
    <t>Thuê lực lượng an ninh phường hỗ trợ giờ cao điểm: 4.000.000 đồng/tháng *9 tháng</t>
  </si>
  <si>
    <t>Thuê tỉa cây, dọn chà dọn rác máy nhà ….</t>
  </si>
  <si>
    <t>Sửa chữa tài sản cố định</t>
  </si>
  <si>
    <t>Sửa chữa máy vi tính các phòng Đoàn -Đội, Văn phòng, máy vi tính phòng ngoại ngữ, tin học; máy chiếu…</t>
  </si>
  <si>
    <t>Máy  photocopy</t>
  </si>
  <si>
    <t>Máy bơm nước</t>
  </si>
  <si>
    <t>Sửa chữa điện, nước nhà vệ sinh học sinh+giáo viên, máy lạnh</t>
  </si>
  <si>
    <t>Sữa chửa hành lang, sân trường, bồn bông….</t>
  </si>
  <si>
    <t>Sửa chữa khác: thay mặt bàn, ghế; kính cửa….</t>
  </si>
  <si>
    <t>Chi mua vật tư dạy học: tranh ảnh, hóa chất, thiết bị TNTH</t>
  </si>
  <si>
    <t>Trang phục thể dục:  GVCT: 04*3,000.000đ/năm</t>
  </si>
  <si>
    <t>06</t>
  </si>
  <si>
    <t xml:space="preserve">Sách, tài liệu  cho công tác chuyên môn: </t>
  </si>
  <si>
    <t>Chi sinh hoạt hè: 1100 HS *5.000 đ/1hs + 12GV*200.000 đ/GV+ banrol: 250,000đ</t>
  </si>
  <si>
    <t>Chi học bồi dưỡng nghiệp vụ chuyên môn ngắn hạn: Tổ trưởng, tổ phó: 14 GV</t>
  </si>
  <si>
    <t>Chi học bồi dưỡng nghiệp vụ chuyên môn ngắn hạn Văn thư, kế toán, y tế</t>
  </si>
  <si>
    <t>Chi học bồi dưỡng nghiệp vụ chuyên môn ngắn hạn bảo vệ: 03 người</t>
  </si>
  <si>
    <t>Chi HKPĐ NH 2016-2017</t>
  </si>
  <si>
    <t>Chi bồi dưỡng giáo viên có thành tích BD học sinh đạt vòng thị: 1.500.000đ/học sinh đạt giải (tính theo hoạt động chuyên môn)*9 HS</t>
  </si>
  <si>
    <t>Chi bồi dưỡng giáo viên có thành tích BD học sinh đạt giải vòng thị: 400.000đ/hội thi/GV trực tiếp hướng dẫn (hoạt động phong trào thi qua mạng internet) * 05G,  tỉnh: 600.000 đồng/hội thi/giáo viên trực tiếp hướng dẫn * 2GV  và các hội thi tương đương</t>
  </si>
  <si>
    <t>Chi bồi dưỡng viết SKKN: 40 SKKN * 200.000 đ/SKKN</t>
  </si>
  <si>
    <t>Chi bồi dưỡng GV HD HS thi ATGT và các hoạt động Đội TNTP: Nhà Sử học nhỏ tuổi, Kể chuyện sách, Hội họa trong hè: 400.000 đồng/ Hội thi và các hội thi tương đương</t>
  </si>
  <si>
    <t>Chi bồi dưỡng GV tập luyện học sinh thi HKPĐ có kết quả vòng thị: 200.000 đồng /môn thi * 15 môn thi</t>
  </si>
  <si>
    <t>Chi bồi dưỡng GV tập luyện học sinh thi HKPĐ có kết quả vòng tỉnh: 300.000 đồng /môn thi * 6 môn thi và toàn đoàn: 2.000.000 đ</t>
  </si>
  <si>
    <t>Chi bồi dưỡng học sinh có thành tích BD học sinh đạt vòng tỉnh: 2.500.000đ/người( tính theo hoạt động chuyên môn) * 9 GV</t>
  </si>
  <si>
    <t>Chi bồi dưỡng GV dự hội thi GVDG cấp thị, tỉnh, Võ Minh Đức, thi GVCN giỏi, thi TPT Đội giỏi, thi sáng tạo KHKT: 1.000.000 đồng/GV dự thi *10 GV(lấy theo cấp cao nhất)</t>
  </si>
  <si>
    <t>Bồi dưỡng Tổ làm ĐDDH dự thi cấp cơ sở: 300.000 đồng/đồ dùng, cấp thị: 500.000đồng/đồ dùng, cấp tỉnh: 1.000.000đồ dùng (thanh toán theo cấp cao nhất) *6tổ</t>
  </si>
  <si>
    <t>Bồi dưỡng GV triển khai chuyên đề cấp thị, tỉnh: 06 GV * 200.000 đồng/chuyên đề</t>
  </si>
  <si>
    <t>Bồi dưỡng học sinh tham gia thi ATGT cấp thị, tỉnh: 10 HS ( 70.000 đồng/ngày)</t>
  </si>
  <si>
    <t>Bồi dưỡng học sinh tham gia thi Sáng tạo KHKT cấp thị, tỉnh: 05 HS</t>
  </si>
  <si>
    <t>Bồi dưỡng học sinh tham gia thi giải toán trên máy tính Casio: 02 HS</t>
  </si>
  <si>
    <t>Bồi dưỡng học sinh tham gia thi Olympic Tiếng Anh cấp tỉnh: 05HS</t>
  </si>
  <si>
    <t>Bồi dưỡng học sinh tham gia thi Olympic cấp tỉnh: 05HS</t>
  </si>
  <si>
    <t>Bồi dưỡng học sinh tham gia thi TNTH Lý Hóa Sinh cấp thị, tỉnh: 20 HS</t>
  </si>
  <si>
    <t>Bồi dưỡng học sinh tham gia thi Lương Thế Vinh: 02 HS</t>
  </si>
  <si>
    <t>Bồi dưỡng học sinh tham gia thi Sao Khuê: 05 HS</t>
  </si>
  <si>
    <t>Bồi dưỡng học sinh tham gia giải toán Tiếng Việt: 50 HS * 30.000 đồng</t>
  </si>
  <si>
    <t>Bồi dưỡng học sinh tham gia giải toán Tiếng Anh: 50 HS * 30.000 đồng</t>
  </si>
  <si>
    <t>Bồi dưỡng học sinh tham gia Tiếng Anh trên internet: 50 HS * 30.000 đồng</t>
  </si>
  <si>
    <t>Bồi dưỡng học sinh tham gia thi kể chuyện sách hè: 10 HS * 70.000 đồng</t>
  </si>
  <si>
    <t>Bồi dưỡng học sinh các hội thi khác: 300 lượt *70,000 đồng</t>
  </si>
  <si>
    <t>Bồi dưỡng học sinh tham gia thi kể chuyện học tập và làm theo tấm gương đạo đức Hồ Chí Minh: 10 HS * 70.000 đồng</t>
  </si>
  <si>
    <t>Chi thi giáo viên giỏi vòng cơ sở: (150.000 đồng/GV/tiết + 70.000 đồng/đồ dùng/tiết) * 3 tiết *40GV</t>
  </si>
  <si>
    <t>Bồi dưỡng GV đạt giải GV giỏi cấp thị: 5 GV *1.000.000 đồng</t>
  </si>
  <si>
    <t>Bồi dưỡng GV đạt giải GV giỏi cấp tỉnh: 02 GV *2.000.000 đồng</t>
  </si>
  <si>
    <t>Bồi dưỡng GV ôn thi tuyển sinh 10 tỉ lệ bằng hoặc cao hơn tỉ lệ tỉnh: 06 GV *1.000.000 đồng</t>
  </si>
  <si>
    <t>Khám sức khỏe học sinh: 1.400 *59.000 đồng/HS</t>
  </si>
  <si>
    <t>Chi hội thi Vui để học của học sinh</t>
  </si>
  <si>
    <t>Chi hội thi Bán hàng rong, chào mừng ngày 26/3</t>
  </si>
  <si>
    <t>Chi hoạt động  chào mừng 20/11:hỗ trợ làm thiệp, tập san, ban giám khảo, giải thưởng</t>
  </si>
  <si>
    <t>Chi hội thi làm lồng đèn Tết Trung thu: hỗ trợ làm lồng đèn, ban giám khảo, giải thưởng</t>
  </si>
  <si>
    <t>Chi hội thi Nghi thức Đội, Nhà Sử học nhỏ tuổi</t>
  </si>
  <si>
    <t>Chi bồi dưỡng giáo viên phụ đạo học sinh yếu kém: mỗi khối 01 lớp/100 tiết/môn * 120.000 đồng/tiết* 4 khối * 3 môn</t>
  </si>
  <si>
    <t>Chi NVCM khác</t>
  </si>
  <si>
    <t>Phí chuyển lương: 78GV*2200đ/ng/tháng* 12 tháng</t>
  </si>
  <si>
    <t>Tiếp khách: 5.000.000đ/quý * 4quý</t>
  </si>
  <si>
    <t>Nước uống giáo viên, trà: 4.000.000 đồng/quý *4 quý</t>
  </si>
  <si>
    <t>Khen thưởng học sinh: 37 lớp *400.000đ/lớp/học kỳ + HS giỏi tỉnh</t>
  </si>
  <si>
    <t xml:space="preserve">Khen thưởng GV </t>
  </si>
  <si>
    <t>Vệ sinh lớp: 200.000 đ/ lớp * 37lớp</t>
  </si>
  <si>
    <t>Chỉ thị 40 THTT HSTC ( cây xanh, phân bón)</t>
  </si>
  <si>
    <t>Chi khác, tiền tết</t>
  </si>
  <si>
    <t>Chi phí Đảng</t>
  </si>
  <si>
    <t>Chi trợ cấp bí thư chi bộ: 01 người * 50,000 đồng/tháng *12 tháng</t>
  </si>
  <si>
    <t xml:space="preserve"> TỔNG CỘNG  13</t>
  </si>
  <si>
    <t>NGUỒN 14</t>
  </si>
  <si>
    <t>NGUỒN KINH PHÍ CẢI CÁCH TIỀN LƯƠNG</t>
  </si>
  <si>
    <t>NGUỒN 12</t>
  </si>
  <si>
    <t>NGUỒN KINH PHÍ KHÔNG TỰ CHỦ</t>
  </si>
  <si>
    <t>BHXH : 18%</t>
  </si>
  <si>
    <t>BHYT: 3%</t>
  </si>
  <si>
    <t xml:space="preserve">KPCĐ: 2% </t>
  </si>
  <si>
    <t xml:space="preserve">BHTN: 1% </t>
  </si>
  <si>
    <t>Hỗ trợ chi phí học tập HS nghèo</t>
  </si>
  <si>
    <t>Dàn âm thanh ngoài trời</t>
  </si>
  <si>
    <t xml:space="preserve">Chi thuê mướn </t>
  </si>
  <si>
    <t>Hợp đồng lao động kế toán, NVYT</t>
  </si>
  <si>
    <t xml:space="preserve"> Chi NVCM </t>
  </si>
  <si>
    <t xml:space="preserve"> Trang phục bảo vệ : 03* 600,000đ/năm </t>
  </si>
  <si>
    <t>Chi thanh toán cá nhân khác</t>
  </si>
  <si>
    <t>Chi phụ cấp 30% GV không đứng lớp: 10.83972*12 tháng</t>
  </si>
  <si>
    <t>Chi phụ cấp tổ trưởng hành chính: 0,1* 12 tháng</t>
  </si>
  <si>
    <t>Trợ cấp Bảo vệ: 03 người * 600.000đồng/tháng *12 tháng</t>
  </si>
  <si>
    <t>Trợ cấp NV Phục vụ: 02 người * 500.000đồng/tháng *12 tháng</t>
  </si>
  <si>
    <t xml:space="preserve">Trợ cấp GV ở trọ:  </t>
  </si>
  <si>
    <t xml:space="preserve"> GV công tác khác địa bàn: 02gv *900.000đ/năm </t>
  </si>
  <si>
    <t xml:space="preserve"> Trợ cấp thư viện: 0,2*12 tháng </t>
  </si>
  <si>
    <t>Trợ cấp thạc sĩ: 02 người x 1,5 x 1,390,000 đ</t>
  </si>
  <si>
    <t xml:space="preserve"> Chi ngày 20/11: 76*200.000đ/GV </t>
  </si>
  <si>
    <t xml:space="preserve"> Chi khác </t>
  </si>
  <si>
    <t xml:space="preserve"> Bảo hiểm cháy nổ </t>
  </si>
  <si>
    <t>Cấp bù học phí</t>
  </si>
  <si>
    <t>Tổng cộng</t>
  </si>
  <si>
    <t>Ngaøy 15 thaùng 01 naêm 2019</t>
  </si>
  <si>
    <r>
      <t xml:space="preserve">KẾ TOÁN                             </t>
    </r>
    <r>
      <rPr>
        <sz val="14"/>
        <rFont val="VNI-Times"/>
      </rPr>
      <t xml:space="preserve">DUYEÄT CUÛA PHOØNG GD -ÑT    </t>
    </r>
    <r>
      <rPr>
        <sz val="14"/>
        <rFont val="Times New Roman"/>
        <family val="1"/>
      </rPr>
      <t xml:space="preserve">  </t>
    </r>
  </si>
  <si>
    <t>HIEÄU TRÖÔÛNG</t>
  </si>
  <si>
    <t>07</t>
  </si>
  <si>
    <t>Mỹ Phước, ngày  10  tháng 04 năm 2019</t>
  </si>
  <si>
    <t xml:space="preserve"> QUYẾT TOÁN THU - CHI NGUỒN NSNN, NGUỒN KHÁC - QUÍ II/2019</t>
  </si>
  <si>
    <t>Học phí</t>
  </si>
  <si>
    <t>Thu từ phí dịch vụ căn tin ( 40% CCTL)</t>
  </si>
  <si>
    <t>Trường THCS MỸ THẠNH</t>
  </si>
  <si>
    <t>Vệ sinh</t>
  </si>
  <si>
    <t>Dạy thêm học thêm</t>
  </si>
  <si>
    <t>Ôn tuyển sinh 10</t>
  </si>
  <si>
    <t>ĐÁNH GIÁ THỰC HIỆN DỰ TOÁN THU- CHI NGÂN SÁCH - QUÍ II/2020  (NĂM HỌC: 2019-2020)</t>
  </si>
  <si>
    <t>Ước thực
hiện QII/2019</t>
  </si>
  <si>
    <t>Chi lương BC : 80,240x 12 tháng</t>
  </si>
  <si>
    <t>Chi lương HĐ : 97,760 x 12tháng</t>
  </si>
  <si>
    <t>LƯƠNG KHÁC</t>
  </si>
  <si>
    <t>Lương hợp đồng: 5,8*12 tháng</t>
  </si>
  <si>
    <t>Chi PCCV: 4,10x 12tháng</t>
  </si>
  <si>
    <t>Chi PCƯĐ: 48,975 x 12tháng</t>
  </si>
  <si>
    <t>Phụ cấp thâm niên: 23,9734*12 tháng</t>
  </si>
  <si>
    <t>Phụ cấp vượt khung</t>
  </si>
  <si>
    <t>BHXH : 18% (BC+HĐ+PCCV+PCVK)</t>
  </si>
  <si>
    <t>Tiền điện: 15.000.000*12tháng</t>
  </si>
  <si>
    <t>Bơm mực máy in: 10 máy * 5lần/năm*160.000đ/lần</t>
  </si>
  <si>
    <t>Thay mực máy photo: 01 máy * 10 lần *1,100,000</t>
  </si>
  <si>
    <t>Tiền tàu xe:  3.000 lượt *14,000đồng.lượt</t>
  </si>
  <si>
    <t>Phụ cấp công tác phí: 1500 lượt * 50.000đồng/lượt</t>
  </si>
  <si>
    <t>Thuê phòng: 30 lượt * 400,000đồng/lượt</t>
  </si>
  <si>
    <t>Hỗ trợ thuê xe chở Hs thi các hội thi</t>
  </si>
  <si>
    <t>Thuê công chăm sóc cây xanh, tỉa cây, bón phân: 500.000 đồng/tháng * 12 tháng</t>
  </si>
  <si>
    <t>Thuê công dọn sân trường, cổng trường, hỗ trợ lau dọn 7 nhà vệ sinh học sinh, dọn rác đỗ rác cho học sinh : 6,200,000 đồng/tháng * 9 tháng</t>
  </si>
  <si>
    <t>Thuê mước khác</t>
  </si>
  <si>
    <t>Chi hoạt động chuyên môn (HKPĐ)</t>
  </si>
  <si>
    <t>Tiếp khách: 2.000.000đ/quý * 4quý</t>
  </si>
  <si>
    <t>Khen thưởng học sinh: 38 lớp *400.000đ/lớp/học kỳ + HS giỏi tỉnh</t>
  </si>
  <si>
    <t>Chi hỗ trợ khác</t>
  </si>
  <si>
    <t>Mua bàn ghế 02 chỗ ngồi không bán trú</t>
  </si>
  <si>
    <t xml:space="preserve"> Phòng, chống dịch bệnh nCoV</t>
  </si>
  <si>
    <t>Mua sắm tài sản phục vụ công tác chuyên môn</t>
  </si>
  <si>
    <t>Tài sản và các thiết bị khác</t>
  </si>
  <si>
    <t xml:space="preserve"> Trang phục bảo vệ : 02* 600,000đ/năm </t>
  </si>
  <si>
    <t>Tiền tết</t>
  </si>
  <si>
    <t>Chi hỗ trợ và giải quyết việc làm</t>
  </si>
  <si>
    <t>Chi nghĩ hưu theo NĐ 15/2018</t>
  </si>
  <si>
    <t>Chi hỗ trợ nghị hưu theo ND108, nghĩ việc</t>
  </si>
  <si>
    <t>Khen thưởng học sinh: 38 lớp *400.000đ/lớp/học kỳ
 + HS giỏi tỉnh</t>
  </si>
  <si>
    <t>DỰ TOÁN THU- CHI NGÂN SÁCH NHÀ NƯỚC QUÝ 2</t>
  </si>
  <si>
    <t>Khuyến học</t>
  </si>
  <si>
    <t>Quyết toán chi quỹ ngoài ngân sách ( năm học: 2019-2020)</t>
  </si>
  <si>
    <t>Ngày    30   tháng  6  năm 2020</t>
  </si>
  <si>
    <t>Dự toán thu - chi quỹ ngoài ngân sách (từ 8/2019-6/2020)</t>
  </si>
  <si>
    <t>Lập biểu                                                                                  Hiệu trưởng</t>
  </si>
  <si>
    <t xml:space="preserve">                                                                                          Mỹ Phước, ngày 30  tháng  6  năm 2020</t>
  </si>
  <si>
    <t xml:space="preserve">                                                                                                 Mỹ Phước, ngày 30  tháng  6  năm 2020</t>
  </si>
  <si>
    <t>Chi tiền tết cho GV 61 người</t>
  </si>
  <si>
    <t>1.3</t>
  </si>
  <si>
    <t>Cải cách tiền lương : 14</t>
  </si>
  <si>
    <t>(Kèm theo Quyết định số  10/QĐ- PGDĐT ngày 10/01/2020 của PGDĐT )</t>
  </si>
  <si>
    <t>(Kèm theo Quyết định số 10 /QĐ-PGDĐ ngày 10/01/2020 của PGDĐT thị xã Bến Cát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</si>
</sst>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  <numFmt numFmtId="167" formatCode="_(* #,##0.0000000_);_(* \(#,##0.0000000\);_(* &quot;-&quot;??_);_(@_)"/>
    <numFmt numFmtId="168" formatCode="#,##0.0000"/>
    <numFmt numFmtId="169" formatCode="_-* #,##0.0000\ _₫_-;\-* #,##0.0000\ _₫_-;_-* &quot;-&quot;??\ _₫_-;_-@_-"/>
  </numFmts>
  <fonts count="58">
    <font>
      <sz val="11"/>
      <color theme="1"/>
      <name val="Calibri"/>
      <family val="2"/>
      <charset val="163"/>
      <scheme val="minor"/>
    </font>
    <font>
      <sz val="11"/>
      <color theme="1"/>
      <name val=".VnArial"/>
      <family val="2"/>
      <charset val="163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sz val="14"/>
      <color theme="1"/>
      <name val="Arial"/>
      <family val="2"/>
      <charset val="163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4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VNI-Times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4"/>
      <color rgb="FFFF0000"/>
      <name val="Times New Roman"/>
      <family val="1"/>
    </font>
    <font>
      <b/>
      <u/>
      <sz val="14"/>
      <name val="VNI-Times"/>
    </font>
    <font>
      <b/>
      <u/>
      <sz val="12"/>
      <name val="VNI-Times"/>
    </font>
    <font>
      <u/>
      <sz val="14"/>
      <name val="VNI-Times"/>
    </font>
    <font>
      <u/>
      <sz val="12"/>
      <name val="VNI-Times"/>
    </font>
    <font>
      <b/>
      <sz val="14"/>
      <name val="VNI-Times"/>
    </font>
    <font>
      <sz val="14"/>
      <name val="VNI-Times"/>
    </font>
    <font>
      <sz val="10"/>
      <name val="Times New Roman"/>
      <family val="1"/>
    </font>
    <font>
      <i/>
      <sz val="14"/>
      <name val="VNI-Times"/>
    </font>
    <font>
      <b/>
      <i/>
      <u/>
      <sz val="12"/>
      <color rgb="FFFF0000"/>
      <name val="Times New Roman"/>
      <family val="1"/>
    </font>
    <font>
      <i/>
      <u/>
      <sz val="14"/>
      <color theme="1"/>
      <name val="Times New Roman"/>
      <family val="1"/>
    </font>
    <font>
      <b/>
      <i/>
      <u/>
      <sz val="14"/>
      <color rgb="FFFF0000"/>
      <name val="Times New Roman"/>
      <family val="1"/>
    </font>
    <font>
      <u/>
      <sz val="11"/>
      <color theme="1"/>
      <name val="Calibri"/>
      <family val="2"/>
      <charset val="163"/>
      <scheme val="minor"/>
    </font>
    <font>
      <sz val="12"/>
      <name val="VNI-Times"/>
    </font>
    <font>
      <b/>
      <sz val="12"/>
      <color theme="1"/>
      <name val="VNI-Times"/>
    </font>
    <font>
      <sz val="12"/>
      <color theme="1"/>
      <name val="VNI-Times"/>
    </font>
    <font>
      <b/>
      <u/>
      <sz val="11"/>
      <color theme="1"/>
      <name val="Calibri"/>
      <family val="2"/>
      <charset val="163"/>
      <scheme val="minor"/>
    </font>
    <font>
      <b/>
      <u/>
      <sz val="13"/>
      <color theme="1"/>
      <name val="Times New Roman"/>
      <family val="1"/>
    </font>
    <font>
      <sz val="13"/>
      <color theme="1"/>
      <name val="Times New Roman"/>
      <family val="1"/>
    </font>
    <font>
      <i/>
      <u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9" fontId="14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  <xf numFmtId="43" fontId="51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8" fillId="0" borderId="0" xfId="0" applyFont="1"/>
    <xf numFmtId="0" fontId="0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0" borderId="1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0" fontId="10" fillId="0" borderId="0" xfId="0" applyFont="1"/>
    <xf numFmtId="3" fontId="11" fillId="0" borderId="0" xfId="0" applyNumberFormat="1" applyFont="1"/>
    <xf numFmtId="3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2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Fill="1" applyBorder="1"/>
    <xf numFmtId="3" fontId="12" fillId="0" borderId="1" xfId="0" applyNumberFormat="1" applyFont="1" applyBorder="1"/>
    <xf numFmtId="3" fontId="22" fillId="0" borderId="1" xfId="0" applyNumberFormat="1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8" fillId="0" borderId="0" xfId="0" applyFont="1"/>
    <xf numFmtId="0" fontId="4" fillId="0" borderId="1" xfId="0" applyFont="1" applyBorder="1" applyAlignment="1">
      <alignment wrapText="1"/>
    </xf>
    <xf numFmtId="0" fontId="29" fillId="0" borderId="1" xfId="0" applyFont="1" applyBorder="1" applyAlignment="1">
      <alignment horizontal="center"/>
    </xf>
    <xf numFmtId="0" fontId="4" fillId="0" borderId="1" xfId="0" applyFont="1" applyBorder="1"/>
    <xf numFmtId="0" fontId="30" fillId="0" borderId="0" xfId="0" applyFont="1"/>
    <xf numFmtId="0" fontId="21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/>
    <xf numFmtId="3" fontId="5" fillId="0" borderId="0" xfId="0" applyNumberFormat="1" applyFont="1"/>
    <xf numFmtId="3" fontId="21" fillId="0" borderId="1" xfId="0" applyNumberFormat="1" applyFont="1" applyBorder="1"/>
    <xf numFmtId="3" fontId="2" fillId="0" borderId="0" xfId="0" applyNumberFormat="1" applyFont="1"/>
    <xf numFmtId="165" fontId="11" fillId="0" borderId="0" xfId="4" applyNumberFormat="1" applyFont="1"/>
    <xf numFmtId="166" fontId="32" fillId="0" borderId="1" xfId="4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31" fillId="0" borderId="1" xfId="0" applyNumberFormat="1" applyFont="1" applyFill="1" applyBorder="1"/>
    <xf numFmtId="0" fontId="22" fillId="0" borderId="0" xfId="0" applyFont="1" applyFill="1"/>
    <xf numFmtId="0" fontId="12" fillId="0" borderId="0" xfId="0" applyFont="1" applyFill="1" applyAlignment="1">
      <alignment horizontal="center"/>
    </xf>
    <xf numFmtId="0" fontId="32" fillId="0" borderId="0" xfId="0" applyFont="1" applyFill="1"/>
    <xf numFmtId="166" fontId="32" fillId="0" borderId="0" xfId="4" applyNumberFormat="1" applyFont="1" applyFill="1"/>
    <xf numFmtId="0" fontId="12" fillId="0" borderId="0" xfId="0" applyFont="1" applyFill="1"/>
    <xf numFmtId="166" fontId="32" fillId="0" borderId="0" xfId="4" applyNumberFormat="1" applyFont="1" applyFill="1" applyAlignment="1">
      <alignment horizontal="center"/>
    </xf>
    <xf numFmtId="0" fontId="12" fillId="0" borderId="6" xfId="0" applyFont="1" applyFill="1" applyBorder="1" applyAlignment="1"/>
    <xf numFmtId="166" fontId="12" fillId="0" borderId="0" xfId="4" applyNumberFormat="1" applyFont="1" applyFill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4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5" fillId="3" borderId="3" xfId="0" applyFont="1" applyFill="1" applyBorder="1" applyAlignment="1">
      <alignment horizontal="left" vertical="center" wrapText="1"/>
    </xf>
    <xf numFmtId="166" fontId="35" fillId="3" borderId="3" xfId="4" applyNumberFormat="1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166" fontId="26" fillId="3" borderId="3" xfId="4" applyNumberFormat="1" applyFont="1" applyFill="1" applyBorder="1" applyAlignment="1">
      <alignment horizontal="left" vertical="center" wrapText="1"/>
    </xf>
    <xf numFmtId="166" fontId="26" fillId="3" borderId="3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36" fillId="0" borderId="1" xfId="0" applyFont="1" applyFill="1" applyBorder="1"/>
    <xf numFmtId="0" fontId="36" fillId="0" borderId="1" xfId="0" applyFont="1" applyFill="1" applyBorder="1" applyAlignment="1">
      <alignment horizontal="center"/>
    </xf>
    <xf numFmtId="166" fontId="36" fillId="0" borderId="1" xfId="4" applyNumberFormat="1" applyFont="1" applyFill="1" applyBorder="1"/>
    <xf numFmtId="166" fontId="36" fillId="0" borderId="0" xfId="0" applyNumberFormat="1" applyFont="1" applyFill="1"/>
    <xf numFmtId="0" fontId="36" fillId="0" borderId="0" xfId="0" applyFont="1" applyFill="1"/>
    <xf numFmtId="0" fontId="32" fillId="0" borderId="1" xfId="0" applyFont="1" applyFill="1" applyBorder="1"/>
    <xf numFmtId="0" fontId="32" fillId="0" borderId="1" xfId="0" quotePrefix="1" applyFont="1" applyFill="1" applyBorder="1" applyAlignment="1">
      <alignment horizontal="center"/>
    </xf>
    <xf numFmtId="3" fontId="32" fillId="0" borderId="1" xfId="0" applyNumberFormat="1" applyFont="1" applyFill="1" applyBorder="1"/>
    <xf numFmtId="166" fontId="12" fillId="0" borderId="0" xfId="0" applyNumberFormat="1" applyFont="1" applyFill="1"/>
    <xf numFmtId="3" fontId="36" fillId="0" borderId="1" xfId="0" applyNumberFormat="1" applyFont="1" applyFill="1" applyBorder="1"/>
    <xf numFmtId="166" fontId="22" fillId="0" borderId="0" xfId="0" applyNumberFormat="1" applyFont="1" applyFill="1"/>
    <xf numFmtId="167" fontId="12" fillId="0" borderId="0" xfId="0" applyNumberFormat="1" applyFont="1" applyFill="1"/>
    <xf numFmtId="0" fontId="32" fillId="0" borderId="1" xfId="0" applyFont="1" applyFill="1" applyBorder="1" applyAlignment="1">
      <alignment horizontal="center"/>
    </xf>
    <xf numFmtId="0" fontId="26" fillId="3" borderId="1" xfId="0" applyFont="1" applyFill="1" applyBorder="1"/>
    <xf numFmtId="166" fontId="26" fillId="3" borderId="1" xfId="4" applyNumberFormat="1" applyFont="1" applyFill="1" applyBorder="1"/>
    <xf numFmtId="3" fontId="26" fillId="3" borderId="1" xfId="0" applyNumberFormat="1" applyFont="1" applyFill="1" applyBorder="1"/>
    <xf numFmtId="3" fontId="23" fillId="3" borderId="1" xfId="0" applyNumberFormat="1" applyFont="1" applyFill="1" applyBorder="1"/>
    <xf numFmtId="166" fontId="23" fillId="3" borderId="0" xfId="4" applyNumberFormat="1" applyFont="1" applyFill="1"/>
    <xf numFmtId="0" fontId="23" fillId="3" borderId="0" xfId="0" applyFont="1" applyFill="1"/>
    <xf numFmtId="0" fontId="36" fillId="0" borderId="1" xfId="0" quotePrefix="1" applyFont="1" applyFill="1" applyBorder="1" applyAlignment="1">
      <alignment horizontal="center"/>
    </xf>
    <xf numFmtId="166" fontId="22" fillId="0" borderId="0" xfId="4" applyNumberFormat="1" applyFont="1" applyFill="1"/>
    <xf numFmtId="166" fontId="22" fillId="0" borderId="1" xfId="4" applyNumberFormat="1" applyFont="1" applyFill="1" applyBorder="1"/>
    <xf numFmtId="0" fontId="32" fillId="0" borderId="1" xfId="0" applyFont="1" applyFill="1" applyBorder="1" applyAlignment="1">
      <alignment wrapText="1"/>
    </xf>
    <xf numFmtId="166" fontId="32" fillId="0" borderId="1" xfId="4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166" fontId="32" fillId="0" borderId="1" xfId="0" applyNumberFormat="1" applyFont="1" applyFill="1" applyBorder="1"/>
    <xf numFmtId="0" fontId="3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37" fillId="0" borderId="3" xfId="0" applyFont="1" applyFill="1" applyBorder="1" applyAlignment="1">
      <alignment wrapText="1"/>
    </xf>
    <xf numFmtId="0" fontId="38" fillId="3" borderId="4" xfId="0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/>
    </xf>
    <xf numFmtId="0" fontId="26" fillId="3" borderId="8" xfId="0" applyFont="1" applyFill="1" applyBorder="1"/>
    <xf numFmtId="3" fontId="38" fillId="3" borderId="1" xfId="0" applyNumberFormat="1" applyFont="1" applyFill="1" applyBorder="1"/>
    <xf numFmtId="3" fontId="13" fillId="3" borderId="1" xfId="0" applyNumberFormat="1" applyFont="1" applyFill="1" applyBorder="1"/>
    <xf numFmtId="0" fontId="13" fillId="3" borderId="0" xfId="0" applyFont="1" applyFill="1"/>
    <xf numFmtId="0" fontId="36" fillId="0" borderId="8" xfId="0" applyFont="1" applyFill="1" applyBorder="1"/>
    <xf numFmtId="49" fontId="32" fillId="0" borderId="1" xfId="4" applyNumberFormat="1" applyFont="1" applyFill="1" applyBorder="1" applyAlignment="1">
      <alignment wrapText="1"/>
    </xf>
    <xf numFmtId="0" fontId="35" fillId="0" borderId="1" xfId="0" applyFont="1" applyFill="1" applyBorder="1"/>
    <xf numFmtId="0" fontId="35" fillId="0" borderId="1" xfId="0" applyFont="1" applyFill="1" applyBorder="1" applyAlignment="1">
      <alignment horizontal="center"/>
    </xf>
    <xf numFmtId="166" fontId="35" fillId="0" borderId="1" xfId="4" applyNumberFormat="1" applyFont="1" applyFill="1" applyBorder="1"/>
    <xf numFmtId="3" fontId="35" fillId="0" borderId="1" xfId="0" applyNumberFormat="1" applyFont="1" applyFill="1" applyBorder="1"/>
    <xf numFmtId="0" fontId="31" fillId="0" borderId="0" xfId="0" applyFont="1" applyFill="1"/>
    <xf numFmtId="0" fontId="39" fillId="0" borderId="1" xfId="0" applyFont="1" applyFill="1" applyBorder="1"/>
    <xf numFmtId="166" fontId="39" fillId="0" borderId="1" xfId="4" applyNumberFormat="1" applyFont="1" applyFill="1" applyBorder="1"/>
    <xf numFmtId="3" fontId="39" fillId="0" borderId="1" xfId="0" applyNumberFormat="1" applyFont="1" applyFill="1" applyBorder="1"/>
    <xf numFmtId="3" fontId="40" fillId="0" borderId="1" xfId="0" applyNumberFormat="1" applyFont="1" applyFill="1" applyBorder="1"/>
    <xf numFmtId="0" fontId="40" fillId="0" borderId="0" xfId="0" applyFont="1" applyFill="1"/>
    <xf numFmtId="0" fontId="35" fillId="0" borderId="1" xfId="0" applyFont="1" applyFill="1" applyBorder="1" applyAlignment="1">
      <alignment horizontal="left" vertical="center"/>
    </xf>
    <xf numFmtId="166" fontId="39" fillId="0" borderId="1" xfId="4" applyNumberFormat="1" applyFont="1" applyFill="1" applyBorder="1" applyAlignment="1">
      <alignment horizontal="left" vertical="center"/>
    </xf>
    <xf numFmtId="3" fontId="41" fillId="0" borderId="1" xfId="0" applyNumberFormat="1" applyFont="1" applyFill="1" applyBorder="1" applyAlignment="1">
      <alignment horizontal="left" vertical="center"/>
    </xf>
    <xf numFmtId="168" fontId="42" fillId="0" borderId="1" xfId="0" applyNumberFormat="1" applyFont="1" applyFill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166" fontId="43" fillId="0" borderId="1" xfId="4" applyNumberFormat="1" applyFont="1" applyFill="1" applyBorder="1" applyAlignment="1">
      <alignment horizontal="left" vertical="center"/>
    </xf>
    <xf numFmtId="166" fontId="44" fillId="0" borderId="1" xfId="4" applyNumberFormat="1" applyFont="1" applyFill="1" applyBorder="1" applyAlignment="1">
      <alignment horizontal="left" vertical="center"/>
    </xf>
    <xf numFmtId="0" fontId="45" fillId="0" borderId="1" xfId="0" applyFont="1" applyFill="1" applyBorder="1"/>
    <xf numFmtId="0" fontId="45" fillId="0" borderId="0" xfId="0" applyFont="1" applyFill="1"/>
    <xf numFmtId="166" fontId="38" fillId="0" borderId="1" xfId="4" applyNumberFormat="1" applyFont="1" applyFill="1" applyBorder="1"/>
    <xf numFmtId="166" fontId="12" fillId="0" borderId="1" xfId="0" applyNumberFormat="1" applyFont="1" applyFill="1" applyBorder="1"/>
    <xf numFmtId="166" fontId="26" fillId="0" borderId="1" xfId="4" applyNumberFormat="1" applyFont="1" applyFill="1" applyBorder="1"/>
    <xf numFmtId="166" fontId="36" fillId="0" borderId="1" xfId="0" applyNumberFormat="1" applyFont="1" applyFill="1" applyBorder="1"/>
    <xf numFmtId="166" fontId="22" fillId="0" borderId="1" xfId="0" applyNumberFormat="1" applyFont="1" applyFill="1" applyBorder="1"/>
    <xf numFmtId="0" fontId="22" fillId="0" borderId="1" xfId="0" applyFont="1" applyFill="1" applyBorder="1"/>
    <xf numFmtId="166" fontId="36" fillId="0" borderId="3" xfId="4" applyNumberFormat="1" applyFont="1" applyFill="1" applyBorder="1" applyAlignment="1">
      <alignment horizontal="center"/>
    </xf>
    <xf numFmtId="166" fontId="38" fillId="0" borderId="3" xfId="4" applyNumberFormat="1" applyFont="1" applyFill="1" applyBorder="1" applyAlignment="1">
      <alignment horizontal="center"/>
    </xf>
    <xf numFmtId="167" fontId="32" fillId="0" borderId="1" xfId="0" applyNumberFormat="1" applyFont="1" applyFill="1" applyBorder="1"/>
    <xf numFmtId="166" fontId="38" fillId="0" borderId="1" xfId="4" applyNumberFormat="1" applyFont="1" applyFill="1" applyBorder="1" applyAlignment="1">
      <alignment horizontal="left" vertical="center" wrapText="1"/>
    </xf>
    <xf numFmtId="0" fontId="32" fillId="0" borderId="2" xfId="0" applyFont="1" applyFill="1" applyBorder="1"/>
    <xf numFmtId="166" fontId="32" fillId="0" borderId="1" xfId="4" applyNumberFormat="1" applyFont="1" applyFill="1" applyBorder="1" applyAlignment="1">
      <alignment wrapText="1"/>
    </xf>
    <xf numFmtId="0" fontId="36" fillId="0" borderId="3" xfId="0" applyFont="1" applyFill="1" applyBorder="1" applyAlignment="1">
      <alignment horizontal="center"/>
    </xf>
    <xf numFmtId="166" fontId="36" fillId="0" borderId="2" xfId="4" applyNumberFormat="1" applyFont="1" applyFill="1" applyBorder="1"/>
    <xf numFmtId="0" fontId="36" fillId="0" borderId="0" xfId="0" applyFont="1" applyFill="1" applyBorder="1" applyAlignment="1">
      <alignment horizontal="center"/>
    </xf>
    <xf numFmtId="166" fontId="36" fillId="0" borderId="0" xfId="4" applyNumberFormat="1" applyFont="1" applyFill="1" applyBorder="1"/>
    <xf numFmtId="0" fontId="43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/>
    <xf numFmtId="166" fontId="45" fillId="0" borderId="0" xfId="4" applyNumberFormat="1" applyFont="1" applyFill="1" applyBorder="1" applyAlignment="1"/>
    <xf numFmtId="0" fontId="33" fillId="0" borderId="0" xfId="0" applyFont="1" applyFill="1" applyBorder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44" fillId="0" borderId="0" xfId="0" applyFont="1" applyFill="1"/>
    <xf numFmtId="166" fontId="44" fillId="0" borderId="0" xfId="4" applyNumberFormat="1" applyFont="1" applyFill="1"/>
    <xf numFmtId="166" fontId="32" fillId="0" borderId="0" xfId="0" applyNumberFormat="1" applyFont="1" applyFill="1"/>
    <xf numFmtId="43" fontId="32" fillId="0" borderId="0" xfId="0" applyNumberFormat="1" applyFont="1" applyFill="1"/>
    <xf numFmtId="3" fontId="32" fillId="0" borderId="1" xfId="0" applyNumberFormat="1" applyFont="1" applyFill="1" applyBorder="1" applyAlignment="1">
      <alignment vertical="center" wrapText="1"/>
    </xf>
    <xf numFmtId="1" fontId="32" fillId="0" borderId="1" xfId="0" quotePrefix="1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right"/>
    </xf>
    <xf numFmtId="3" fontId="25" fillId="0" borderId="1" xfId="0" applyNumberFormat="1" applyFont="1" applyBorder="1"/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 wrapText="1"/>
    </xf>
    <xf numFmtId="0" fontId="48" fillId="0" borderId="0" xfId="0" applyFont="1" applyAlignment="1">
      <alignment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wrapText="1"/>
    </xf>
    <xf numFmtId="0" fontId="49" fillId="0" borderId="0" xfId="0" applyFont="1"/>
    <xf numFmtId="0" fontId="8" fillId="0" borderId="1" xfId="0" applyFont="1" applyBorder="1"/>
    <xf numFmtId="0" fontId="50" fillId="0" borderId="0" xfId="0" applyFont="1"/>
    <xf numFmtId="0" fontId="0" fillId="0" borderId="0" xfId="0" applyFont="1"/>
    <xf numFmtId="165" fontId="5" fillId="0" borderId="1" xfId="4" applyNumberFormat="1" applyFont="1" applyBorder="1" applyAlignment="1">
      <alignment horizontal="justify" vertical="top" wrapText="1"/>
    </xf>
    <xf numFmtId="165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165" fontId="4" fillId="0" borderId="1" xfId="4" applyNumberFormat="1" applyFont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/>
    <xf numFmtId="0" fontId="9" fillId="0" borderId="0" xfId="0" applyFont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6" fontId="37" fillId="0" borderId="0" xfId="5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top" wrapText="1"/>
    </xf>
    <xf numFmtId="10" fontId="11" fillId="0" borderId="1" xfId="2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/>
    </xf>
    <xf numFmtId="10" fontId="11" fillId="0" borderId="1" xfId="2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49" fillId="0" borderId="0" xfId="0" applyNumberFormat="1" applyFont="1"/>
    <xf numFmtId="0" fontId="9" fillId="0" borderId="1" xfId="0" applyFont="1" applyFill="1" applyBorder="1" applyAlignment="1">
      <alignment vertical="center"/>
    </xf>
    <xf numFmtId="166" fontId="9" fillId="0" borderId="1" xfId="4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66" fontId="11" fillId="0" borderId="1" xfId="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166" fontId="9" fillId="3" borderId="1" xfId="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0" xfId="0" applyNumberFormat="1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9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vertical="center" wrapText="1"/>
    </xf>
    <xf numFmtId="3" fontId="4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6" fontId="52" fillId="0" borderId="1" xfId="4" applyNumberFormat="1" applyFont="1" applyFill="1" applyBorder="1" applyAlignment="1">
      <alignment horizontal="center" vertical="center"/>
    </xf>
    <xf numFmtId="166" fontId="53" fillId="0" borderId="1" xfId="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166" fontId="48" fillId="0" borderId="0" xfId="0" applyNumberFormat="1" applyFont="1" applyAlignment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center" vertical="center"/>
    </xf>
    <xf numFmtId="166" fontId="9" fillId="0" borderId="3" xfId="4" applyNumberFormat="1" applyFont="1" applyFill="1" applyBorder="1" applyAlignment="1">
      <alignment horizontal="center" vertical="center"/>
    </xf>
    <xf numFmtId="166" fontId="11" fillId="0" borderId="3" xfId="4" applyNumberFormat="1" applyFont="1" applyFill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4" fillId="0" borderId="0" xfId="0" applyNumberFormat="1" applyFont="1"/>
    <xf numFmtId="3" fontId="30" fillId="0" borderId="0" xfId="0" applyNumberFormat="1" applyFont="1"/>
    <xf numFmtId="165" fontId="11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/>
    <xf numFmtId="165" fontId="11" fillId="0" borderId="1" xfId="4" applyNumberFormat="1" applyFont="1" applyBorder="1"/>
    <xf numFmtId="0" fontId="54" fillId="0" borderId="1" xfId="0" applyFont="1" applyBorder="1"/>
    <xf numFmtId="0" fontId="54" fillId="0" borderId="0" xfId="0" applyFont="1"/>
    <xf numFmtId="169" fontId="55" fillId="0" borderId="1" xfId="4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166" fontId="18" fillId="0" borderId="0" xfId="0" applyNumberFormat="1" applyFont="1" applyFill="1" applyAlignment="1">
      <alignment vertical="center"/>
    </xf>
    <xf numFmtId="166" fontId="49" fillId="0" borderId="0" xfId="0" applyNumberFormat="1" applyFont="1"/>
    <xf numFmtId="166" fontId="18" fillId="0" borderId="0" xfId="0" applyNumberFormat="1" applyFont="1"/>
    <xf numFmtId="166" fontId="11" fillId="0" borderId="0" xfId="0" applyNumberFormat="1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165" fontId="4" fillId="0" borderId="1" xfId="4" applyNumberFormat="1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55" fillId="0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66" fontId="12" fillId="0" borderId="0" xfId="0" applyNumberFormat="1" applyFont="1" applyFill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left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left"/>
    </xf>
    <xf numFmtId="0" fontId="35" fillId="0" borderId="5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horizontal="center"/>
    </xf>
    <xf numFmtId="0" fontId="34" fillId="0" borderId="9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166" fontId="43" fillId="0" borderId="0" xfId="0" applyNumberFormat="1" applyFont="1" applyFill="1" applyAlignment="1">
      <alignment horizontal="center"/>
    </xf>
  </cellXfs>
  <cellStyles count="6">
    <cellStyle name="Comma" xfId="4" builtinId="3"/>
    <cellStyle name="Comma 10" xfId="5"/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G\TRANG\MY%20THANH%202019\SO%20QUY%20TIEN%20MAT\2019-2020\CONG%20KHAI%20TC%20TT%2061%20QUY%20NGO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G\TRANG\MY%20THANH%202020\DU%20TOAN\THAM%20TRA%20DU%20TO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2"/>
      <sheetName val="Bieu 3"/>
      <sheetName val="Bieu 4"/>
      <sheetName val="Sheet1"/>
    </sheetNames>
    <sheetDataSet>
      <sheetData sheetId="0">
        <row r="2">
          <cell r="A2" t="str">
            <v>Trường THCS MỸ THẠNH</v>
          </cell>
          <cell r="B2">
            <v>0</v>
          </cell>
        </row>
        <row r="3">
          <cell r="A3" t="str">
            <v xml:space="preserve"> Chương: 622</v>
          </cell>
          <cell r="B3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 ĐẦU NĂM"/>
      <sheetName val="dung"/>
      <sheetName val="Sheet5"/>
      <sheetName val="Sheet3"/>
      <sheetName val="DC QĐ 953"/>
      <sheetName val="DC CUỐI NĂM "/>
      <sheetName val="hocphi"/>
      <sheetName val="ton cuoi ky"/>
      <sheetName val="DIEU CHINH THÁNG 5"/>
      <sheetName val="Sheet4"/>
      <sheetName val="bao cao du toan"/>
      <sheetName val="CONG KHAI DU TOAN"/>
      <sheetName val="Sheet1"/>
      <sheetName val="Sheet2"/>
    </sheetNames>
    <sheetDataSet>
      <sheetData sheetId="0"/>
      <sheetData sheetId="1">
        <row r="5">
          <cell r="E5">
            <v>1490000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"/>
  <sheetViews>
    <sheetView tabSelected="1" workbookViewId="0">
      <selection activeCell="E28" sqref="E28:F29"/>
    </sheetView>
  </sheetViews>
  <sheetFormatPr defaultColWidth="9" defaultRowHeight="15.75"/>
  <cols>
    <col min="1" max="1" width="5.28515625" style="21" customWidth="1"/>
    <col min="2" max="2" width="65.5703125" style="20" customWidth="1"/>
    <col min="3" max="3" width="22.85546875" style="20" customWidth="1"/>
    <col min="4" max="4" width="9" style="20"/>
    <col min="5" max="5" width="13.42578125" style="20" customWidth="1"/>
    <col min="6" max="6" width="9" style="20"/>
    <col min="7" max="7" width="22" style="20" bestFit="1" customWidth="1"/>
    <col min="8" max="16384" width="9" style="20"/>
  </cols>
  <sheetData>
    <row r="1" spans="1:3" ht="30" customHeight="1">
      <c r="A1" s="272" t="s">
        <v>48</v>
      </c>
      <c r="B1" s="273"/>
      <c r="C1" s="273"/>
    </row>
    <row r="2" spans="1:3" s="194" customFormat="1" ht="18.75">
      <c r="A2" s="275" t="s">
        <v>261</v>
      </c>
      <c r="B2" s="275"/>
    </row>
    <row r="3" spans="1:3" s="195" customFormat="1">
      <c r="A3" s="276" t="s">
        <v>47</v>
      </c>
      <c r="B3" s="276"/>
    </row>
    <row r="4" spans="1:3" ht="28.15" customHeight="1">
      <c r="A4" s="270" t="s">
        <v>300</v>
      </c>
      <c r="B4" s="270"/>
      <c r="C4" s="270"/>
    </row>
    <row r="5" spans="1:3">
      <c r="A5" s="277" t="s">
        <v>312</v>
      </c>
      <c r="B5" s="277"/>
      <c r="C5" s="277"/>
    </row>
    <row r="6" spans="1:3">
      <c r="A6" s="274" t="s">
        <v>23</v>
      </c>
      <c r="B6" s="274"/>
      <c r="C6" s="274"/>
    </row>
    <row r="7" spans="1:3">
      <c r="C7" s="191" t="s">
        <v>49</v>
      </c>
    </row>
    <row r="8" spans="1:3" s="193" customFormat="1" ht="31.5">
      <c r="A8" s="196" t="s">
        <v>9</v>
      </c>
      <c r="B8" s="197" t="s">
        <v>8</v>
      </c>
      <c r="C8" s="197" t="s">
        <v>11</v>
      </c>
    </row>
    <row r="9" spans="1:3" s="195" customFormat="1">
      <c r="A9" s="22" t="s">
        <v>1</v>
      </c>
      <c r="B9" s="23" t="s">
        <v>25</v>
      </c>
      <c r="C9" s="30">
        <f>C10</f>
        <v>275760000</v>
      </c>
    </row>
    <row r="10" spans="1:3">
      <c r="A10" s="24">
        <v>1</v>
      </c>
      <c r="B10" s="25" t="s">
        <v>26</v>
      </c>
      <c r="C10" s="31">
        <f>C12</f>
        <v>275760000</v>
      </c>
    </row>
    <row r="11" spans="1:3">
      <c r="A11" s="24" t="s">
        <v>27</v>
      </c>
      <c r="B11" s="25" t="s">
        <v>28</v>
      </c>
      <c r="C11" s="31"/>
    </row>
    <row r="12" spans="1:3">
      <c r="A12" s="24"/>
      <c r="B12" s="25" t="s">
        <v>50</v>
      </c>
      <c r="C12" s="31">
        <v>275760000</v>
      </c>
    </row>
    <row r="13" spans="1:3">
      <c r="A13" s="24" t="s">
        <v>29</v>
      </c>
      <c r="B13" s="25" t="s">
        <v>30</v>
      </c>
      <c r="C13" s="31"/>
    </row>
    <row r="14" spans="1:3">
      <c r="A14" s="24">
        <v>2</v>
      </c>
      <c r="B14" s="25" t="s">
        <v>31</v>
      </c>
      <c r="C14" s="31"/>
    </row>
    <row r="15" spans="1:3">
      <c r="A15" s="24" t="s">
        <v>32</v>
      </c>
      <c r="B15" s="25" t="s">
        <v>56</v>
      </c>
      <c r="C15" s="31"/>
    </row>
    <row r="16" spans="1:3" s="33" customFormat="1">
      <c r="A16" s="26" t="s">
        <v>34</v>
      </c>
      <c r="B16" s="27" t="s">
        <v>51</v>
      </c>
      <c r="C16" s="32"/>
    </row>
    <row r="17" spans="1:5" s="33" customFormat="1">
      <c r="A17" s="26" t="s">
        <v>35</v>
      </c>
      <c r="B17" s="27" t="s">
        <v>36</v>
      </c>
      <c r="C17" s="32"/>
    </row>
    <row r="18" spans="1:5">
      <c r="A18" s="24" t="s">
        <v>37</v>
      </c>
      <c r="B18" s="25" t="s">
        <v>10</v>
      </c>
      <c r="C18" s="31"/>
    </row>
    <row r="19" spans="1:5" s="33" customFormat="1">
      <c r="A19" s="26" t="s">
        <v>34</v>
      </c>
      <c r="B19" s="27" t="s">
        <v>52</v>
      </c>
      <c r="C19" s="62">
        <f>SUM(C20:C23)</f>
        <v>275760000</v>
      </c>
    </row>
    <row r="20" spans="1:5">
      <c r="A20" s="24"/>
      <c r="B20" s="25" t="s">
        <v>86</v>
      </c>
      <c r="C20" s="31">
        <f>C12*40%</f>
        <v>110304000</v>
      </c>
    </row>
    <row r="21" spans="1:5">
      <c r="A21" s="24"/>
      <c r="B21" s="25" t="s">
        <v>87</v>
      </c>
      <c r="C21" s="31">
        <f>C12*30%</f>
        <v>82728000</v>
      </c>
    </row>
    <row r="22" spans="1:5">
      <c r="A22" s="24"/>
      <c r="B22" s="25" t="s">
        <v>53</v>
      </c>
      <c r="C22" s="31">
        <v>0</v>
      </c>
    </row>
    <row r="23" spans="1:5">
      <c r="A23" s="24"/>
      <c r="B23" s="25" t="s">
        <v>88</v>
      </c>
      <c r="C23" s="31">
        <f>C21</f>
        <v>82728000</v>
      </c>
    </row>
    <row r="24" spans="1:5" s="33" customFormat="1">
      <c r="A24" s="26" t="s">
        <v>35</v>
      </c>
      <c r="B24" s="27" t="s">
        <v>39</v>
      </c>
      <c r="C24" s="32"/>
    </row>
    <row r="25" spans="1:5">
      <c r="A25" s="24">
        <v>3</v>
      </c>
      <c r="B25" s="25" t="s">
        <v>40</v>
      </c>
      <c r="C25" s="31"/>
    </row>
    <row r="26" spans="1:5">
      <c r="A26" s="24" t="s">
        <v>41</v>
      </c>
      <c r="B26" s="25" t="s">
        <v>28</v>
      </c>
      <c r="C26" s="31"/>
    </row>
    <row r="27" spans="1:5">
      <c r="A27" s="24" t="s">
        <v>42</v>
      </c>
      <c r="B27" s="25" t="s">
        <v>30</v>
      </c>
      <c r="C27" s="31"/>
    </row>
    <row r="28" spans="1:5" s="195" customFormat="1">
      <c r="A28" s="22" t="s">
        <v>4</v>
      </c>
      <c r="B28" s="23" t="s">
        <v>43</v>
      </c>
      <c r="C28" s="30">
        <f>C29</f>
        <v>7454609555.0799999</v>
      </c>
    </row>
    <row r="29" spans="1:5">
      <c r="A29" s="24">
        <v>1</v>
      </c>
      <c r="B29" s="25" t="s">
        <v>10</v>
      </c>
      <c r="C29" s="35">
        <f>C30+C33</f>
        <v>7454609555.0799999</v>
      </c>
      <c r="E29" s="34"/>
    </row>
    <row r="30" spans="1:5">
      <c r="A30" s="24" t="s">
        <v>27</v>
      </c>
      <c r="B30" s="25" t="s">
        <v>38</v>
      </c>
      <c r="C30" s="62">
        <v>7333846555.0799999</v>
      </c>
    </row>
    <row r="31" spans="1:5">
      <c r="A31" s="24"/>
      <c r="B31" s="25" t="s">
        <v>55</v>
      </c>
      <c r="C31" s="31">
        <v>4199438223.0799999</v>
      </c>
    </row>
    <row r="32" spans="1:5">
      <c r="A32" s="24"/>
      <c r="B32" s="25" t="s">
        <v>58</v>
      </c>
      <c r="C32" s="31">
        <v>472248870</v>
      </c>
    </row>
    <row r="33" spans="1:8">
      <c r="A33" s="24"/>
      <c r="B33" s="25" t="s">
        <v>57</v>
      </c>
      <c r="C33" s="31">
        <v>120763000</v>
      </c>
      <c r="G33" s="64"/>
    </row>
    <row r="34" spans="1:8">
      <c r="A34" s="24" t="s">
        <v>29</v>
      </c>
      <c r="B34" s="25" t="s">
        <v>39</v>
      </c>
      <c r="C34" s="62">
        <f>SUM(C35:C38)</f>
        <v>1148029911</v>
      </c>
      <c r="G34" s="34"/>
    </row>
    <row r="35" spans="1:8">
      <c r="A35" s="24"/>
      <c r="B35" s="25" t="s">
        <v>55</v>
      </c>
      <c r="C35" s="31">
        <v>31894638</v>
      </c>
    </row>
    <row r="36" spans="1:8">
      <c r="A36" s="24"/>
      <c r="B36" s="25" t="s">
        <v>59</v>
      </c>
      <c r="C36" s="31">
        <v>165200000</v>
      </c>
      <c r="D36" s="199"/>
      <c r="E36" s="199"/>
      <c r="F36" s="199"/>
      <c r="G36" s="199"/>
      <c r="H36" s="199"/>
    </row>
    <row r="37" spans="1:8">
      <c r="A37" s="24"/>
      <c r="B37" s="25" t="s">
        <v>80</v>
      </c>
      <c r="C37" s="31">
        <v>940935273</v>
      </c>
      <c r="D37" s="199"/>
      <c r="E37" s="199"/>
      <c r="F37" s="199"/>
      <c r="G37" s="199"/>
      <c r="H37" s="199"/>
    </row>
    <row r="38" spans="1:8">
      <c r="A38" s="24"/>
      <c r="B38" s="25" t="s">
        <v>54</v>
      </c>
      <c r="C38" s="31">
        <v>10000000</v>
      </c>
      <c r="D38" s="199"/>
      <c r="E38" s="199"/>
      <c r="F38" s="199"/>
      <c r="G38" s="199"/>
      <c r="H38" s="199"/>
    </row>
    <row r="39" spans="1:8">
      <c r="A39" s="22" t="s">
        <v>60</v>
      </c>
      <c r="B39" s="23" t="s">
        <v>304</v>
      </c>
      <c r="C39" s="30">
        <f>SUM(C40:C46)</f>
        <v>1008910320</v>
      </c>
      <c r="D39" s="199"/>
      <c r="E39" s="199"/>
      <c r="F39" s="199"/>
      <c r="G39" s="199"/>
      <c r="H39" s="199"/>
    </row>
    <row r="40" spans="1:8">
      <c r="A40" s="28">
        <v>1</v>
      </c>
      <c r="B40" s="25" t="s">
        <v>95</v>
      </c>
      <c r="C40" s="48">
        <v>22036000</v>
      </c>
      <c r="D40" s="199"/>
      <c r="E40" s="199"/>
      <c r="F40" s="199"/>
      <c r="G40" s="199"/>
      <c r="H40" s="199"/>
    </row>
    <row r="41" spans="1:8">
      <c r="A41" s="28">
        <v>2</v>
      </c>
      <c r="B41" s="25" t="s">
        <v>61</v>
      </c>
      <c r="C41" s="48">
        <f>37880000-1000000</f>
        <v>36880000</v>
      </c>
      <c r="D41" s="199"/>
      <c r="E41" s="199"/>
      <c r="F41" s="199"/>
      <c r="G41" s="199"/>
      <c r="H41" s="199"/>
    </row>
    <row r="42" spans="1:8">
      <c r="A42" s="28">
        <v>3</v>
      </c>
      <c r="B42" s="25" t="s">
        <v>62</v>
      </c>
      <c r="C42" s="48">
        <v>125425000</v>
      </c>
      <c r="D42" s="199"/>
      <c r="E42" s="199"/>
      <c r="F42" s="199"/>
      <c r="G42" s="199"/>
      <c r="H42" s="199"/>
    </row>
    <row r="43" spans="1:8">
      <c r="A43" s="28">
        <v>4</v>
      </c>
      <c r="B43" s="25" t="s">
        <v>262</v>
      </c>
      <c r="C43" s="48">
        <v>23595000</v>
      </c>
      <c r="D43" s="199"/>
      <c r="E43" s="199"/>
      <c r="F43" s="199"/>
      <c r="G43" s="199"/>
      <c r="H43" s="199"/>
    </row>
    <row r="44" spans="1:8">
      <c r="A44" s="28">
        <v>5</v>
      </c>
      <c r="B44" s="25" t="s">
        <v>96</v>
      </c>
      <c r="C44" s="48">
        <v>105840000</v>
      </c>
      <c r="D44" s="199"/>
      <c r="E44" s="199"/>
      <c r="F44" s="199"/>
      <c r="G44" s="199"/>
      <c r="H44" s="199"/>
    </row>
    <row r="45" spans="1:8">
      <c r="A45" s="28">
        <v>6</v>
      </c>
      <c r="B45" s="25" t="s">
        <v>63</v>
      </c>
      <c r="C45" s="48">
        <v>188880000</v>
      </c>
      <c r="D45" s="199"/>
      <c r="E45" s="199"/>
      <c r="F45" s="199"/>
      <c r="G45" s="199"/>
      <c r="H45" s="199"/>
    </row>
    <row r="46" spans="1:8">
      <c r="A46" s="28">
        <v>7</v>
      </c>
      <c r="B46" s="25" t="s">
        <v>64</v>
      </c>
      <c r="C46" s="48">
        <v>506254320</v>
      </c>
      <c r="D46" s="199"/>
      <c r="E46" s="199"/>
      <c r="F46" s="199"/>
      <c r="G46" s="199"/>
      <c r="H46" s="199"/>
    </row>
    <row r="47" spans="1:8">
      <c r="A47" s="28">
        <v>8</v>
      </c>
      <c r="B47" s="25" t="s">
        <v>263</v>
      </c>
      <c r="C47" s="48">
        <v>108600000</v>
      </c>
      <c r="D47" s="199"/>
      <c r="E47" s="199"/>
      <c r="F47" s="199"/>
      <c r="G47" s="199"/>
      <c r="H47" s="199"/>
    </row>
    <row r="48" spans="1:8">
      <c r="A48" s="28">
        <v>9</v>
      </c>
      <c r="B48" s="25" t="s">
        <v>264</v>
      </c>
      <c r="C48" s="48">
        <v>123000000</v>
      </c>
      <c r="D48" s="199"/>
      <c r="E48" s="199"/>
      <c r="F48" s="199"/>
      <c r="G48" s="199"/>
      <c r="H48" s="199"/>
    </row>
    <row r="49" spans="1:3" ht="15.75" hidden="1" customHeight="1">
      <c r="B49" s="278" t="s">
        <v>257</v>
      </c>
      <c r="C49" s="278"/>
    </row>
    <row r="50" spans="1:3" ht="15.75" hidden="1" customHeight="1">
      <c r="A50" s="279" t="s">
        <v>69</v>
      </c>
      <c r="B50" s="279"/>
      <c r="C50" s="279"/>
    </row>
    <row r="51" spans="1:3" ht="15.75" hidden="1" customHeight="1"/>
    <row r="52" spans="1:3" ht="15.75" hidden="1" customHeight="1"/>
    <row r="53" spans="1:3" ht="15.75" hidden="1" customHeight="1"/>
    <row r="54" spans="1:3" ht="15.75" hidden="1" customHeight="1"/>
    <row r="55" spans="1:3" ht="15.75" hidden="1" customHeight="1"/>
    <row r="56" spans="1:3" ht="15.75" hidden="1" customHeight="1"/>
    <row r="57" spans="1:3">
      <c r="A57" s="44">
        <v>10</v>
      </c>
      <c r="B57" s="257" t="s">
        <v>301</v>
      </c>
      <c r="C57" s="258">
        <v>26000000</v>
      </c>
    </row>
    <row r="58" spans="1:3">
      <c r="B58" s="271" t="s">
        <v>306</v>
      </c>
      <c r="C58" s="271"/>
    </row>
    <row r="59" spans="1:3">
      <c r="B59" s="270" t="s">
        <v>305</v>
      </c>
      <c r="C59" s="270"/>
    </row>
  </sheetData>
  <mergeCells count="10">
    <mergeCell ref="B59:C59"/>
    <mergeCell ref="B58:C58"/>
    <mergeCell ref="A1:C1"/>
    <mergeCell ref="A6:C6"/>
    <mergeCell ref="A4:C4"/>
    <mergeCell ref="A2:B2"/>
    <mergeCell ref="A3:B3"/>
    <mergeCell ref="A5:C5"/>
    <mergeCell ref="B49:C49"/>
    <mergeCell ref="A50:C50"/>
  </mergeCells>
  <pageMargins left="0.51181102362204722" right="0.11811023622047245" top="0.70866141732283472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8"/>
  <sheetViews>
    <sheetView topLeftCell="A16" workbookViewId="0">
      <selection activeCell="H25" sqref="H25:H38"/>
    </sheetView>
  </sheetViews>
  <sheetFormatPr defaultColWidth="8.85546875" defaultRowHeight="18.75"/>
  <cols>
    <col min="1" max="1" width="7.140625" style="38" customWidth="1"/>
    <col min="2" max="2" width="61.85546875" style="38" customWidth="1"/>
    <col min="3" max="3" width="16.7109375" style="38" customWidth="1"/>
    <col min="4" max="4" width="16.5703125" style="38" customWidth="1"/>
    <col min="5" max="5" width="9.7109375" style="38" customWidth="1"/>
    <col min="6" max="6" width="11.42578125" style="38" customWidth="1"/>
    <col min="7" max="7" width="8.85546875" style="38"/>
    <col min="8" max="8" width="19.7109375" style="38" bestFit="1" customWidth="1"/>
    <col min="9" max="9" width="8.85546875" style="38"/>
    <col min="10" max="10" width="18.42578125" style="38" bestFit="1" customWidth="1"/>
    <col min="11" max="16384" width="8.85546875" style="38"/>
  </cols>
  <sheetData>
    <row r="1" spans="1:6" ht="30.6" customHeight="1">
      <c r="A1" s="272" t="s">
        <v>70</v>
      </c>
      <c r="B1" s="272"/>
      <c r="C1" s="272"/>
      <c r="D1" s="272"/>
      <c r="E1" s="272"/>
      <c r="F1" s="272"/>
    </row>
    <row r="2" spans="1:6">
      <c r="A2" s="275" t="str">
        <f>'[1]Bieu 2'!A2:B2</f>
        <v>Trường THCS MỸ THẠNH</v>
      </c>
      <c r="B2" s="275"/>
      <c r="C2" s="194"/>
      <c r="E2" s="280"/>
      <c r="F2" s="280"/>
    </row>
    <row r="3" spans="1:6">
      <c r="A3" s="276" t="str">
        <f>'[1]Bieu 2'!A3:B3</f>
        <v xml:space="preserve"> Chương: 622</v>
      </c>
      <c r="B3" s="276"/>
      <c r="C3" s="195"/>
      <c r="D3" s="20"/>
      <c r="E3" s="20"/>
      <c r="F3" s="195"/>
    </row>
    <row r="4" spans="1:6">
      <c r="A4" s="270" t="s">
        <v>265</v>
      </c>
      <c r="B4" s="270"/>
      <c r="C4" s="270"/>
      <c r="D4" s="270"/>
      <c r="E4" s="270"/>
      <c r="F4" s="270"/>
    </row>
    <row r="5" spans="1:6">
      <c r="A5" s="274" t="s">
        <v>6</v>
      </c>
      <c r="B5" s="274"/>
      <c r="C5" s="274"/>
      <c r="D5" s="274"/>
      <c r="E5" s="274"/>
      <c r="F5" s="274"/>
    </row>
    <row r="6" spans="1:6">
      <c r="A6" s="274" t="s">
        <v>19</v>
      </c>
      <c r="B6" s="274"/>
      <c r="C6" s="274"/>
      <c r="D6" s="274"/>
      <c r="E6" s="274"/>
      <c r="F6" s="274"/>
    </row>
    <row r="7" spans="1:6">
      <c r="A7" s="192"/>
      <c r="B7" s="192"/>
      <c r="C7" s="192"/>
      <c r="D7" s="192"/>
      <c r="E7" s="283" t="s">
        <v>71</v>
      </c>
      <c r="F7" s="283"/>
    </row>
    <row r="8" spans="1:6" ht="21.75" customHeight="1">
      <c r="A8" s="284" t="s">
        <v>9</v>
      </c>
      <c r="B8" s="286" t="s">
        <v>8</v>
      </c>
      <c r="C8" s="288" t="s">
        <v>24</v>
      </c>
      <c r="D8" s="284" t="s">
        <v>266</v>
      </c>
      <c r="E8" s="291" t="s">
        <v>20</v>
      </c>
      <c r="F8" s="292"/>
    </row>
    <row r="9" spans="1:6" ht="39" customHeight="1">
      <c r="A9" s="285"/>
      <c r="B9" s="287"/>
      <c r="C9" s="289"/>
      <c r="D9" s="290"/>
      <c r="E9" s="39" t="s">
        <v>21</v>
      </c>
      <c r="F9" s="40" t="s">
        <v>22</v>
      </c>
    </row>
    <row r="10" spans="1:6" s="58" customFormat="1" ht="36.6" customHeight="1">
      <c r="A10" s="39" t="s">
        <v>1</v>
      </c>
      <c r="B10" s="59" t="s">
        <v>25</v>
      </c>
      <c r="C10" s="200">
        <f>C11</f>
        <v>275760000</v>
      </c>
      <c r="D10" s="200">
        <f t="shared" ref="D10:E10" si="0">D11</f>
        <v>68940000</v>
      </c>
      <c r="E10" s="201">
        <f t="shared" si="0"/>
        <v>0.25</v>
      </c>
      <c r="F10" s="57"/>
    </row>
    <row r="11" spans="1:6" ht="16.899999999999999" customHeight="1">
      <c r="A11" s="41">
        <v>1</v>
      </c>
      <c r="B11" s="25" t="s">
        <v>26</v>
      </c>
      <c r="C11" s="202">
        <v>275760000</v>
      </c>
      <c r="D11" s="202">
        <f t="shared" ref="D11" si="1">D13</f>
        <v>68940000</v>
      </c>
      <c r="E11" s="203">
        <f>E13</f>
        <v>0.25</v>
      </c>
      <c r="F11" s="204"/>
    </row>
    <row r="12" spans="1:6" ht="16.899999999999999" customHeight="1">
      <c r="A12" s="24" t="s">
        <v>27</v>
      </c>
      <c r="B12" s="25" t="s">
        <v>28</v>
      </c>
      <c r="C12" s="202"/>
      <c r="D12" s="204"/>
      <c r="E12" s="205"/>
      <c r="F12" s="204"/>
    </row>
    <row r="13" spans="1:6" ht="16.899999999999999" customHeight="1">
      <c r="A13" s="24"/>
      <c r="B13" s="25" t="s">
        <v>50</v>
      </c>
      <c r="C13" s="206">
        <v>275760000</v>
      </c>
      <c r="D13" s="207">
        <f>C13/4</f>
        <v>68940000</v>
      </c>
      <c r="E13" s="208">
        <f>D13/C13*100%</f>
        <v>0.25</v>
      </c>
      <c r="F13" s="208"/>
    </row>
    <row r="14" spans="1:6" ht="16.899999999999999" customHeight="1">
      <c r="A14" s="24" t="s">
        <v>29</v>
      </c>
      <c r="B14" s="25" t="s">
        <v>30</v>
      </c>
      <c r="C14" s="206"/>
      <c r="D14" s="207"/>
      <c r="E14" s="207"/>
      <c r="F14" s="207"/>
    </row>
    <row r="15" spans="1:6" ht="16.899999999999999" customHeight="1">
      <c r="A15" s="41">
        <v>2</v>
      </c>
      <c r="B15" s="25" t="s">
        <v>31</v>
      </c>
      <c r="C15" s="206"/>
      <c r="D15" s="207"/>
      <c r="E15" s="207"/>
      <c r="F15" s="207"/>
    </row>
    <row r="16" spans="1:6" ht="16.899999999999999" customHeight="1">
      <c r="A16" s="24" t="s">
        <v>32</v>
      </c>
      <c r="B16" s="25" t="s">
        <v>33</v>
      </c>
      <c r="C16" s="206"/>
      <c r="D16" s="207"/>
      <c r="E16" s="207"/>
      <c r="F16" s="207"/>
    </row>
    <row r="17" spans="1:10" ht="16.899999999999999" customHeight="1">
      <c r="A17" s="24" t="s">
        <v>34</v>
      </c>
      <c r="B17" s="25" t="s">
        <v>51</v>
      </c>
      <c r="C17" s="206"/>
      <c r="D17" s="207"/>
      <c r="E17" s="207"/>
      <c r="F17" s="207"/>
    </row>
    <row r="18" spans="1:10" ht="16.899999999999999" customHeight="1">
      <c r="A18" s="24" t="s">
        <v>35</v>
      </c>
      <c r="B18" s="25" t="s">
        <v>36</v>
      </c>
      <c r="C18" s="206"/>
      <c r="D18" s="207"/>
      <c r="E18" s="207"/>
      <c r="F18" s="207"/>
    </row>
    <row r="19" spans="1:10" ht="16.899999999999999" customHeight="1">
      <c r="A19" s="24" t="s">
        <v>37</v>
      </c>
      <c r="B19" s="25" t="s">
        <v>10</v>
      </c>
      <c r="C19" s="206"/>
      <c r="D19" s="207"/>
      <c r="E19" s="207"/>
      <c r="F19" s="207"/>
    </row>
    <row r="20" spans="1:10" ht="16.899999999999999" customHeight="1">
      <c r="A20" s="24" t="s">
        <v>34</v>
      </c>
      <c r="B20" s="42" t="s">
        <v>38</v>
      </c>
      <c r="C20" s="206"/>
      <c r="D20" s="207"/>
      <c r="E20" s="207"/>
      <c r="F20" s="207"/>
    </row>
    <row r="21" spans="1:10" ht="16.899999999999999" customHeight="1">
      <c r="A21" s="24" t="s">
        <v>35</v>
      </c>
      <c r="B21" s="25" t="s">
        <v>39</v>
      </c>
      <c r="C21" s="206"/>
      <c r="D21" s="207"/>
      <c r="E21" s="207"/>
      <c r="F21" s="207"/>
    </row>
    <row r="22" spans="1:10" ht="16.899999999999999" customHeight="1">
      <c r="A22" s="41">
        <v>3</v>
      </c>
      <c r="B22" s="25" t="s">
        <v>40</v>
      </c>
      <c r="C22" s="206"/>
      <c r="D22" s="207"/>
      <c r="E22" s="207"/>
      <c r="F22" s="207"/>
    </row>
    <row r="23" spans="1:10" ht="16.899999999999999" customHeight="1">
      <c r="A23" s="24" t="s">
        <v>41</v>
      </c>
      <c r="B23" s="25" t="s">
        <v>28</v>
      </c>
      <c r="C23" s="207"/>
      <c r="D23" s="207"/>
      <c r="E23" s="207"/>
      <c r="F23" s="207"/>
    </row>
    <row r="24" spans="1:10" ht="16.899999999999999" customHeight="1">
      <c r="A24" s="24" t="s">
        <v>42</v>
      </c>
      <c r="B24" s="25" t="s">
        <v>30</v>
      </c>
      <c r="C24" s="206"/>
      <c r="D24" s="207"/>
      <c r="E24" s="207"/>
      <c r="F24" s="207"/>
    </row>
    <row r="25" spans="1:10" s="194" customFormat="1" ht="16.899999999999999" customHeight="1">
      <c r="A25" s="43" t="s">
        <v>4</v>
      </c>
      <c r="B25" s="23" t="s">
        <v>43</v>
      </c>
      <c r="C25" s="209"/>
      <c r="D25" s="200"/>
      <c r="E25" s="200"/>
      <c r="F25" s="200"/>
      <c r="H25" s="266"/>
    </row>
    <row r="26" spans="1:10" ht="16.899999999999999" customHeight="1">
      <c r="A26" s="41">
        <v>1</v>
      </c>
      <c r="B26" s="25" t="s">
        <v>10</v>
      </c>
      <c r="C26" s="206"/>
      <c r="D26" s="207"/>
      <c r="E26" s="207"/>
      <c r="F26" s="207"/>
    </row>
    <row r="27" spans="1:10" s="183" customFormat="1" ht="16.899999999999999" customHeight="1">
      <c r="A27" s="181" t="s">
        <v>27</v>
      </c>
      <c r="B27" s="182" t="s">
        <v>38</v>
      </c>
      <c r="C27" s="212">
        <f>C28+C31+C33+C39+C44+C50+C57+C62+C67+C74+C81+C84+C94</f>
        <v>7454609555.0799999</v>
      </c>
      <c r="D27" s="212">
        <f>D28+D31+D33+D39+D44+D50+D57+D62+D67+D74+D81+D84+D94</f>
        <v>3218677867</v>
      </c>
      <c r="E27" s="212">
        <f t="shared" ref="E27:F27" si="2">E28+E31+E33+E39+E44+E50+E57+E62+E67+E74+E81+E84+E94</f>
        <v>0</v>
      </c>
      <c r="F27" s="212">
        <f t="shared" si="2"/>
        <v>0</v>
      </c>
      <c r="H27" s="210"/>
      <c r="J27" s="265"/>
    </row>
    <row r="28" spans="1:10" s="213" customFormat="1" ht="16.899999999999999" customHeight="1">
      <c r="A28" s="211">
        <v>6000</v>
      </c>
      <c r="B28" s="211" t="s">
        <v>112</v>
      </c>
      <c r="C28" s="212">
        <f>SUM(C29:C30)</f>
        <v>3178640000</v>
      </c>
      <c r="D28" s="212">
        <f>SUM(D29:D30)</f>
        <v>1546863003</v>
      </c>
      <c r="E28" s="212"/>
      <c r="F28" s="212"/>
      <c r="H28" s="264"/>
    </row>
    <row r="29" spans="1:10" s="218" customFormat="1" ht="16.899999999999999" customHeight="1">
      <c r="A29" s="214"/>
      <c r="B29" s="214" t="s">
        <v>267</v>
      </c>
      <c r="C29" s="215">
        <f>80.24*[2]dung!$E$5*12-2000000</f>
        <v>1432691199.9999998</v>
      </c>
      <c r="D29" s="215">
        <v>694985303</v>
      </c>
      <c r="E29" s="217"/>
      <c r="F29" s="217"/>
    </row>
    <row r="30" spans="1:10" s="218" customFormat="1" ht="16.899999999999999" customHeight="1">
      <c r="A30" s="214"/>
      <c r="B30" s="214" t="s">
        <v>268</v>
      </c>
      <c r="C30" s="215">
        <f>97.76*12*1490000-2000000</f>
        <v>1745948800.0000002</v>
      </c>
      <c r="D30" s="215">
        <v>851877700</v>
      </c>
      <c r="E30" s="217"/>
      <c r="F30" s="217"/>
      <c r="H30" s="267"/>
    </row>
    <row r="31" spans="1:10" s="220" customFormat="1" ht="16.899999999999999" customHeight="1">
      <c r="A31" s="211">
        <v>6050</v>
      </c>
      <c r="B31" s="211" t="s">
        <v>269</v>
      </c>
      <c r="C31" s="212">
        <f>C32</f>
        <v>103703999.99999999</v>
      </c>
      <c r="D31" s="212">
        <f>D32</f>
        <v>107278715</v>
      </c>
      <c r="E31" s="219"/>
      <c r="F31" s="219"/>
    </row>
    <row r="32" spans="1:10" s="218" customFormat="1" ht="16.899999999999999" customHeight="1">
      <c r="A32" s="214"/>
      <c r="B32" s="214" t="s">
        <v>270</v>
      </c>
      <c r="C32" s="215">
        <f>5.8*12*[2]dung!E5</f>
        <v>103703999.99999999</v>
      </c>
      <c r="D32" s="215">
        <v>107278715</v>
      </c>
      <c r="E32" s="217"/>
      <c r="F32" s="217"/>
    </row>
    <row r="33" spans="1:8" s="220" customFormat="1" ht="16.899999999999999" customHeight="1">
      <c r="A33" s="211">
        <v>6101</v>
      </c>
      <c r="B33" s="211" t="s">
        <v>73</v>
      </c>
      <c r="C33" s="212">
        <f>SUM(C34:C38)</f>
        <v>1413381332</v>
      </c>
      <c r="D33" s="212">
        <f>SUM(D34:D38)</f>
        <v>692642372</v>
      </c>
      <c r="E33" s="219"/>
      <c r="F33" s="219"/>
      <c r="H33" s="268"/>
    </row>
    <row r="34" spans="1:8" s="218" customFormat="1" ht="16.899999999999999" customHeight="1">
      <c r="A34" s="214"/>
      <c r="B34" s="214" t="s">
        <v>271</v>
      </c>
      <c r="C34" s="215">
        <f>4.1*12*[2]dung!$E$5</f>
        <v>73308000</v>
      </c>
      <c r="D34" s="215">
        <v>36230840</v>
      </c>
      <c r="E34" s="217"/>
      <c r="F34" s="217"/>
    </row>
    <row r="35" spans="1:8" s="218" customFormat="1" ht="16.899999999999999" customHeight="1">
      <c r="A35" s="214"/>
      <c r="B35" s="214" t="s">
        <v>272</v>
      </c>
      <c r="C35" s="215">
        <f>48.975*12*[2]dung!$E$5-3267160</f>
        <v>872405840.00000012</v>
      </c>
      <c r="D35" s="215">
        <v>437814150</v>
      </c>
      <c r="E35" s="217"/>
      <c r="F35" s="217"/>
    </row>
    <row r="36" spans="1:8" s="218" customFormat="1" ht="16.899999999999999" customHeight="1">
      <c r="A36" s="214"/>
      <c r="B36" s="214" t="s">
        <v>121</v>
      </c>
      <c r="C36" s="215">
        <f>0.3*[2]dung!E5*12</f>
        <v>5364000</v>
      </c>
      <c r="D36" s="215">
        <v>2682000</v>
      </c>
      <c r="E36" s="217"/>
      <c r="F36" s="217"/>
    </row>
    <row r="37" spans="1:8" s="218" customFormat="1" ht="16.899999999999999" customHeight="1">
      <c r="A37" s="214"/>
      <c r="B37" s="214" t="s">
        <v>273</v>
      </c>
      <c r="C37" s="215">
        <f>23.9734*[2]dung!E5*12</f>
        <v>428644392</v>
      </c>
      <c r="D37" s="215">
        <v>206565930</v>
      </c>
      <c r="E37" s="217"/>
      <c r="F37" s="217"/>
    </row>
    <row r="38" spans="1:8" s="218" customFormat="1" ht="16.899999999999999" customHeight="1">
      <c r="A38" s="214"/>
      <c r="B38" s="214" t="s">
        <v>274</v>
      </c>
      <c r="C38" s="215">
        <f>1.8825*[2]dung!E5*12</f>
        <v>33659100</v>
      </c>
      <c r="D38" s="215">
        <v>9349452.0000000019</v>
      </c>
      <c r="E38" s="217"/>
      <c r="F38" s="217"/>
    </row>
    <row r="39" spans="1:8" s="220" customFormat="1" ht="16.899999999999999" customHeight="1">
      <c r="A39" s="211">
        <v>6300</v>
      </c>
      <c r="B39" s="211" t="s">
        <v>72</v>
      </c>
      <c r="C39" s="212">
        <f>SUM(C40:C43)</f>
        <v>917094223.07999992</v>
      </c>
      <c r="D39" s="212">
        <f>SUM(D40:D43)</f>
        <v>447182421</v>
      </c>
      <c r="E39" s="219"/>
      <c r="F39" s="219"/>
    </row>
    <row r="40" spans="1:8" s="218" customFormat="1" ht="16.899999999999999" customHeight="1">
      <c r="A40" s="214"/>
      <c r="B40" s="214" t="s">
        <v>275</v>
      </c>
      <c r="C40" s="215">
        <f>(C29+C30+C34+C37+C38)*18%+23971829</f>
        <v>692537097.55999994</v>
      </c>
      <c r="D40" s="215">
        <v>328836398</v>
      </c>
      <c r="E40" s="217"/>
      <c r="F40" s="217"/>
    </row>
    <row r="41" spans="1:8" s="218" customFormat="1" ht="16.899999999999999" customHeight="1">
      <c r="A41" s="214"/>
      <c r="B41" s="214" t="s">
        <v>126</v>
      </c>
      <c r="C41" s="215">
        <f>(C29+C30+C34+C37+C38)*3%+2218753</f>
        <v>113646297.75999999</v>
      </c>
      <c r="D41" s="215">
        <v>56371664</v>
      </c>
      <c r="E41" s="217"/>
      <c r="F41" s="217"/>
    </row>
    <row r="42" spans="1:8" s="218" customFormat="1" ht="16.899999999999999" customHeight="1">
      <c r="A42" s="214"/>
      <c r="B42" s="214" t="s">
        <v>127</v>
      </c>
      <c r="C42" s="215">
        <f>(C29+C30+C34+C37+C38)*2%</f>
        <v>74285029.840000004</v>
      </c>
      <c r="D42" s="215">
        <v>43921407</v>
      </c>
      <c r="E42" s="217"/>
      <c r="F42" s="217"/>
    </row>
    <row r="43" spans="1:8" s="218" customFormat="1" ht="16.899999999999999" customHeight="1">
      <c r="A43" s="214"/>
      <c r="B43" s="214" t="s">
        <v>129</v>
      </c>
      <c r="C43" s="215">
        <f>(C29+C30+C34+C37+C38)*1%-516717</f>
        <v>36625797.920000002</v>
      </c>
      <c r="D43" s="215">
        <v>18052952</v>
      </c>
      <c r="E43" s="217"/>
      <c r="F43" s="217"/>
    </row>
    <row r="44" spans="1:8" s="220" customFormat="1" ht="16.899999999999999" customHeight="1">
      <c r="A44" s="211"/>
      <c r="B44" s="211" t="s">
        <v>74</v>
      </c>
      <c r="C44" s="212">
        <f>C45</f>
        <v>37029600</v>
      </c>
      <c r="D44" s="212">
        <f>D45</f>
        <v>84946800</v>
      </c>
      <c r="E44" s="219"/>
      <c r="F44" s="219"/>
    </row>
    <row r="45" spans="1:8" s="218" customFormat="1" ht="16.899999999999999" hidden="1" customHeight="1">
      <c r="A45" s="214"/>
      <c r="B45" s="214" t="s">
        <v>130</v>
      </c>
      <c r="C45" s="215">
        <f>37*36*2*13900</f>
        <v>37029600</v>
      </c>
      <c r="D45" s="215">
        <f>65100000+19846800</f>
        <v>84946800</v>
      </c>
      <c r="E45" s="217"/>
      <c r="F45" s="217"/>
    </row>
    <row r="46" spans="1:8" s="220" customFormat="1" ht="16.899999999999999" hidden="1" customHeight="1">
      <c r="A46" s="211">
        <v>6500</v>
      </c>
      <c r="B46" s="211" t="s">
        <v>131</v>
      </c>
      <c r="C46" s="212">
        <f>SUM(C47:C49)</f>
        <v>149040000</v>
      </c>
      <c r="D46" s="212">
        <f>SUM(D47:D49)</f>
        <v>47537514</v>
      </c>
      <c r="E46" s="212"/>
      <c r="F46" s="212"/>
    </row>
    <row r="47" spans="1:8" s="218" customFormat="1" ht="16.899999999999999" customHeight="1">
      <c r="A47" s="214"/>
      <c r="B47" s="214" t="s">
        <v>276</v>
      </c>
      <c r="C47" s="215">
        <f>12*12000000</f>
        <v>144000000</v>
      </c>
      <c r="D47" s="215">
        <f>46637514</f>
        <v>46637514</v>
      </c>
      <c r="E47" s="217"/>
      <c r="F47" s="217"/>
    </row>
    <row r="48" spans="1:8" s="218" customFormat="1" ht="16.899999999999999" customHeight="1">
      <c r="A48" s="214"/>
      <c r="B48" s="214" t="s">
        <v>133</v>
      </c>
      <c r="C48" s="215">
        <f>20*15000*12</f>
        <v>3600000</v>
      </c>
      <c r="D48" s="215">
        <v>0</v>
      </c>
      <c r="E48" s="217"/>
      <c r="F48" s="217"/>
    </row>
    <row r="49" spans="1:6" s="218" customFormat="1" ht="16.899999999999999" customHeight="1">
      <c r="A49" s="214"/>
      <c r="B49" s="214" t="s">
        <v>134</v>
      </c>
      <c r="C49" s="215">
        <f>120000*12</f>
        <v>1440000</v>
      </c>
      <c r="D49" s="215">
        <v>900000</v>
      </c>
      <c r="E49" s="217"/>
      <c r="F49" s="217"/>
    </row>
    <row r="50" spans="1:6" s="220" customFormat="1" ht="16.899999999999999" customHeight="1">
      <c r="A50" s="211">
        <v>6550</v>
      </c>
      <c r="B50" s="211" t="s">
        <v>135</v>
      </c>
      <c r="C50" s="212">
        <f>SUM(C51:C56)</f>
        <v>151554301</v>
      </c>
      <c r="D50" s="212">
        <f>SUM(D51:D56)</f>
        <v>35723656</v>
      </c>
      <c r="E50" s="219"/>
      <c r="F50" s="219"/>
    </row>
    <row r="51" spans="1:6" s="218" customFormat="1" ht="16.899999999999999" customHeight="1">
      <c r="A51" s="214"/>
      <c r="B51" s="214" t="s">
        <v>136</v>
      </c>
      <c r="C51" s="215">
        <f>15*88000*12+600001+15000000+1000000</f>
        <v>32440001</v>
      </c>
      <c r="D51" s="215">
        <f>17016000+4000000+14230000</f>
        <v>35246000</v>
      </c>
      <c r="E51" s="217"/>
      <c r="F51" s="217"/>
    </row>
    <row r="52" spans="1:6" s="218" customFormat="1" ht="16.899999999999999" customHeight="1">
      <c r="A52" s="214"/>
      <c r="B52" s="214" t="s">
        <v>137</v>
      </c>
      <c r="C52" s="215">
        <f>88000*2*5*2+8000000</f>
        <v>9760000</v>
      </c>
      <c r="D52" s="215"/>
      <c r="E52" s="217"/>
      <c r="F52" s="217"/>
    </row>
    <row r="53" spans="1:6" s="218" customFormat="1" ht="16.899999999999999" customHeight="1">
      <c r="A53" s="214"/>
      <c r="B53" s="214" t="s">
        <v>138</v>
      </c>
      <c r="C53" s="215">
        <f>300*88000</f>
        <v>26400000</v>
      </c>
      <c r="D53" s="215"/>
      <c r="E53" s="217"/>
      <c r="F53" s="217"/>
    </row>
    <row r="54" spans="1:6" s="218" customFormat="1" ht="16.899999999999999" customHeight="1">
      <c r="A54" s="214"/>
      <c r="B54" s="214" t="s">
        <v>139</v>
      </c>
      <c r="C54" s="215">
        <f>60000000+3954300</f>
        <v>63954300</v>
      </c>
      <c r="D54" s="215"/>
      <c r="E54" s="217"/>
      <c r="F54" s="217"/>
    </row>
    <row r="55" spans="1:6" s="218" customFormat="1" ht="16.899999999999999" customHeight="1">
      <c r="A55" s="214"/>
      <c r="B55" s="214" t="s">
        <v>277</v>
      </c>
      <c r="C55" s="215">
        <f>10*5*160000</f>
        <v>8000000</v>
      </c>
      <c r="D55" s="215">
        <v>477656</v>
      </c>
      <c r="E55" s="217"/>
      <c r="F55" s="217"/>
    </row>
    <row r="56" spans="1:6" s="218" customFormat="1" ht="16.899999999999999" customHeight="1">
      <c r="A56" s="214"/>
      <c r="B56" s="214" t="s">
        <v>278</v>
      </c>
      <c r="C56" s="215">
        <f>1100000*10</f>
        <v>11000000</v>
      </c>
      <c r="D56" s="215"/>
      <c r="E56" s="217"/>
      <c r="F56" s="217"/>
    </row>
    <row r="57" spans="1:6" s="220" customFormat="1" ht="16.899999999999999" customHeight="1">
      <c r="A57" s="211">
        <v>6600</v>
      </c>
      <c r="B57" s="211" t="s">
        <v>76</v>
      </c>
      <c r="C57" s="212">
        <f>SUM(C58:C61)</f>
        <v>21320000</v>
      </c>
      <c r="D57" s="212">
        <f>SUM(D58:D61)</f>
        <v>7581800</v>
      </c>
      <c r="E57" s="219"/>
      <c r="F57" s="219"/>
    </row>
    <row r="58" spans="1:6" s="218" customFormat="1" ht="16.899999999999999" customHeight="1">
      <c r="A58" s="214"/>
      <c r="B58" s="214" t="s">
        <v>143</v>
      </c>
      <c r="C58" s="215">
        <f>150000*2*12</f>
        <v>3600000</v>
      </c>
      <c r="D58" s="215">
        <v>821800</v>
      </c>
      <c r="E58" s="217"/>
      <c r="F58" s="217"/>
    </row>
    <row r="59" spans="1:6" s="218" customFormat="1" ht="16.899999999999999" customHeight="1">
      <c r="A59" s="214"/>
      <c r="B59" s="214" t="s">
        <v>147</v>
      </c>
      <c r="C59" s="215">
        <f>(660000)*12</f>
        <v>7920000</v>
      </c>
      <c r="D59" s="215">
        <v>3960000</v>
      </c>
      <c r="E59" s="217"/>
      <c r="F59" s="217"/>
    </row>
    <row r="60" spans="1:6" s="218" customFormat="1" ht="16.899999999999999" customHeight="1">
      <c r="A60" s="214"/>
      <c r="B60" s="214" t="s">
        <v>148</v>
      </c>
      <c r="C60" s="215">
        <v>4800000</v>
      </c>
      <c r="D60" s="215">
        <v>2800000</v>
      </c>
      <c r="E60" s="217"/>
      <c r="F60" s="217"/>
    </row>
    <row r="61" spans="1:6" s="218" customFormat="1" ht="16.899999999999999" customHeight="1">
      <c r="A61" s="214"/>
      <c r="B61" s="214" t="s">
        <v>149</v>
      </c>
      <c r="C61" s="215">
        <v>5000000</v>
      </c>
      <c r="D61" s="215"/>
      <c r="E61" s="217"/>
      <c r="F61" s="217"/>
    </row>
    <row r="62" spans="1:6" s="220" customFormat="1" ht="16.899999999999999" customHeight="1">
      <c r="A62" s="211">
        <v>6700</v>
      </c>
      <c r="B62" s="211" t="s">
        <v>77</v>
      </c>
      <c r="C62" s="212">
        <f>SUM(C63:C66)</f>
        <v>147000000</v>
      </c>
      <c r="D62" s="212">
        <f>SUM(D63:D66)</f>
        <v>16830000</v>
      </c>
      <c r="E62" s="219"/>
      <c r="F62" s="219"/>
    </row>
    <row r="63" spans="1:6" s="218" customFormat="1" ht="16.899999999999999" customHeight="1">
      <c r="A63" s="214"/>
      <c r="B63" s="214" t="s">
        <v>279</v>
      </c>
      <c r="C63" s="215">
        <f>3000*14000</f>
        <v>42000000</v>
      </c>
      <c r="D63" s="215">
        <v>1050000</v>
      </c>
      <c r="E63" s="217"/>
      <c r="F63" s="217"/>
    </row>
    <row r="64" spans="1:6" s="218" customFormat="1" ht="16.899999999999999" customHeight="1">
      <c r="A64" s="214"/>
      <c r="B64" s="214" t="s">
        <v>280</v>
      </c>
      <c r="C64" s="215">
        <f>1500*50000</f>
        <v>75000000</v>
      </c>
      <c r="D64" s="215">
        <v>10500000</v>
      </c>
      <c r="E64" s="217"/>
      <c r="F64" s="217"/>
    </row>
    <row r="65" spans="1:6" s="218" customFormat="1" ht="16.899999999999999" customHeight="1">
      <c r="A65" s="214"/>
      <c r="B65" s="214" t="s">
        <v>281</v>
      </c>
      <c r="C65" s="215">
        <f>30*400000</f>
        <v>12000000</v>
      </c>
      <c r="D65" s="215"/>
      <c r="E65" s="217"/>
      <c r="F65" s="217"/>
    </row>
    <row r="66" spans="1:6" s="218" customFormat="1" ht="16.5" customHeight="1">
      <c r="A66" s="214"/>
      <c r="B66" s="214" t="s">
        <v>153</v>
      </c>
      <c r="C66" s="215">
        <f>500000*3*12</f>
        <v>18000000</v>
      </c>
      <c r="D66" s="215">
        <v>5280000</v>
      </c>
      <c r="E66" s="217"/>
      <c r="F66" s="217"/>
    </row>
    <row r="67" spans="1:6" s="220" customFormat="1" ht="16.899999999999999" customHeight="1">
      <c r="A67" s="211">
        <v>6750</v>
      </c>
      <c r="B67" s="211" t="s">
        <v>78</v>
      </c>
      <c r="C67" s="212">
        <f>SUM(C68:C73)</f>
        <v>177800000</v>
      </c>
      <c r="D67" s="212">
        <f>SUM(D68:D73)</f>
        <v>58950000</v>
      </c>
      <c r="E67" s="219"/>
      <c r="F67" s="219"/>
    </row>
    <row r="68" spans="1:6" s="220" customFormat="1" ht="29.25" customHeight="1">
      <c r="A68" s="211"/>
      <c r="B68" s="223" t="s">
        <v>282</v>
      </c>
      <c r="C68" s="215">
        <v>10000000</v>
      </c>
      <c r="D68" s="215"/>
      <c r="E68" s="219"/>
      <c r="F68" s="219"/>
    </row>
    <row r="69" spans="1:6" s="220" customFormat="1" ht="32.25" customHeight="1">
      <c r="A69" s="211"/>
      <c r="B69" s="223" t="s">
        <v>283</v>
      </c>
      <c r="C69" s="215">
        <f>500000*12</f>
        <v>6000000</v>
      </c>
      <c r="D69" s="215">
        <v>3000000</v>
      </c>
      <c r="E69" s="219"/>
      <c r="F69" s="219"/>
    </row>
    <row r="70" spans="1:6" s="220" customFormat="1" ht="47.25" customHeight="1">
      <c r="A70" s="211"/>
      <c r="B70" s="223" t="s">
        <v>284</v>
      </c>
      <c r="C70" s="215">
        <f>6200000*9</f>
        <v>55800000</v>
      </c>
      <c r="D70" s="215">
        <f>6600000*6</f>
        <v>39600000</v>
      </c>
      <c r="E70" s="219"/>
      <c r="F70" s="219"/>
    </row>
    <row r="71" spans="1:6" s="220" customFormat="1" ht="32.25" customHeight="1">
      <c r="A71" s="211"/>
      <c r="B71" s="223" t="s">
        <v>160</v>
      </c>
      <c r="C71" s="215">
        <f>4000000*9</f>
        <v>36000000</v>
      </c>
      <c r="D71" s="215">
        <f>4000000*3</f>
        <v>12000000</v>
      </c>
      <c r="E71" s="219"/>
      <c r="F71" s="219"/>
    </row>
    <row r="72" spans="1:6" s="220" customFormat="1" ht="16.899999999999999" customHeight="1">
      <c r="A72" s="211"/>
      <c r="B72" s="223" t="s">
        <v>161</v>
      </c>
      <c r="C72" s="215">
        <v>30000000</v>
      </c>
      <c r="D72" s="215"/>
      <c r="E72" s="219"/>
      <c r="F72" s="219"/>
    </row>
    <row r="73" spans="1:6" s="220" customFormat="1" ht="16.899999999999999" customHeight="1">
      <c r="A73" s="211"/>
      <c r="B73" s="223" t="s">
        <v>285</v>
      </c>
      <c r="C73" s="215">
        <v>40000000</v>
      </c>
      <c r="D73" s="215">
        <f>3500000+750000+100000</f>
        <v>4350000</v>
      </c>
      <c r="E73" s="219"/>
      <c r="F73" s="219"/>
    </row>
    <row r="74" spans="1:6" s="220" customFormat="1" ht="21" customHeight="1">
      <c r="A74" s="211">
        <v>6900</v>
      </c>
      <c r="B74" s="211" t="s">
        <v>162</v>
      </c>
      <c r="C74" s="212">
        <f>SUM(C75:C80)</f>
        <v>395363960</v>
      </c>
      <c r="D74" s="212">
        <f>SUM(D75:D80)</f>
        <v>67244100</v>
      </c>
      <c r="E74" s="219"/>
      <c r="F74" s="219"/>
    </row>
    <row r="75" spans="1:6" s="218" customFormat="1" ht="31.5" customHeight="1">
      <c r="A75" s="214"/>
      <c r="B75" s="224" t="s">
        <v>163</v>
      </c>
      <c r="C75" s="215">
        <v>90000000</v>
      </c>
      <c r="D75" s="215">
        <v>8518000</v>
      </c>
      <c r="E75" s="217"/>
      <c r="F75" s="217"/>
    </row>
    <row r="76" spans="1:6" s="218" customFormat="1" ht="16.899999999999999" customHeight="1">
      <c r="A76" s="214"/>
      <c r="B76" s="224" t="s">
        <v>164</v>
      </c>
      <c r="C76" s="215">
        <f>1560000+20000000</f>
        <v>21560000</v>
      </c>
      <c r="D76" s="215"/>
      <c r="E76" s="217"/>
      <c r="F76" s="217"/>
    </row>
    <row r="77" spans="1:6" s="218" customFormat="1" ht="16.899999999999999" customHeight="1">
      <c r="A77" s="214"/>
      <c r="B77" s="224" t="s">
        <v>165</v>
      </c>
      <c r="C77" s="215">
        <v>20000000</v>
      </c>
      <c r="D77" s="215"/>
      <c r="E77" s="217"/>
      <c r="F77" s="217"/>
    </row>
    <row r="78" spans="1:6" s="218" customFormat="1" ht="16.899999999999999" customHeight="1">
      <c r="A78" s="214"/>
      <c r="B78" s="224" t="s">
        <v>166</v>
      </c>
      <c r="C78" s="215">
        <v>90000000</v>
      </c>
      <c r="D78" s="215">
        <v>9492000</v>
      </c>
      <c r="E78" s="217"/>
      <c r="F78" s="217"/>
    </row>
    <row r="79" spans="1:6" s="218" customFormat="1" ht="16.899999999999999" customHeight="1">
      <c r="A79" s="214"/>
      <c r="B79" s="224" t="s">
        <v>167</v>
      </c>
      <c r="C79" s="215">
        <v>90000000</v>
      </c>
      <c r="D79" s="215"/>
      <c r="E79" s="217"/>
      <c r="F79" s="217"/>
    </row>
    <row r="80" spans="1:6" s="218" customFormat="1" ht="23.25" customHeight="1">
      <c r="A80" s="214"/>
      <c r="B80" s="224" t="s">
        <v>168</v>
      </c>
      <c r="C80" s="215">
        <f>13703960+45100000+25000000</f>
        <v>83803960</v>
      </c>
      <c r="D80" s="215">
        <v>49234100</v>
      </c>
      <c r="E80" s="217"/>
      <c r="F80" s="217"/>
    </row>
    <row r="81" spans="1:8" s="220" customFormat="1" ht="23.25" customHeight="1">
      <c r="A81" s="211">
        <v>7000</v>
      </c>
      <c r="B81" s="211" t="s">
        <v>59</v>
      </c>
      <c r="C81" s="212">
        <f>SUM(C82:C83)</f>
        <v>674698939</v>
      </c>
      <c r="D81" s="212">
        <f>SUM(D82:D83)</f>
        <v>124435000</v>
      </c>
      <c r="E81" s="219"/>
      <c r="F81" s="219"/>
    </row>
    <row r="82" spans="1:8" s="218" customFormat="1" ht="23.25" customHeight="1">
      <c r="A82" s="214"/>
      <c r="B82" s="224" t="s">
        <v>169</v>
      </c>
      <c r="C82" s="215">
        <f>110637740+35040000</f>
        <v>145677740</v>
      </c>
      <c r="D82" s="215">
        <v>34935000</v>
      </c>
      <c r="E82" s="217"/>
      <c r="F82" s="217"/>
      <c r="H82" s="225"/>
    </row>
    <row r="83" spans="1:8" s="218" customFormat="1" ht="23.25" customHeight="1">
      <c r="A83" s="214"/>
      <c r="B83" s="223" t="s">
        <v>286</v>
      </c>
      <c r="C83" s="215">
        <f>244981199+284040000</f>
        <v>529021199</v>
      </c>
      <c r="D83" s="215">
        <f>80800000+8700000</f>
        <v>89500000</v>
      </c>
      <c r="E83" s="217"/>
      <c r="F83" s="217"/>
      <c r="H83" s="225"/>
    </row>
    <row r="84" spans="1:8" s="228" customFormat="1" ht="19.5" customHeight="1">
      <c r="A84" s="211">
        <v>7799</v>
      </c>
      <c r="B84" s="226" t="s">
        <v>54</v>
      </c>
      <c r="C84" s="222">
        <f>C85+C92</f>
        <v>116260200</v>
      </c>
      <c r="D84" s="222">
        <f>D85+D92</f>
        <v>29000000</v>
      </c>
      <c r="E84" s="227"/>
      <c r="F84" s="227"/>
    </row>
    <row r="85" spans="1:8" s="220" customFormat="1" ht="20.25" customHeight="1">
      <c r="A85" s="211"/>
      <c r="B85" s="229" t="s">
        <v>54</v>
      </c>
      <c r="C85" s="212">
        <f>SUM(C86:C91)</f>
        <v>115660200</v>
      </c>
      <c r="D85" s="212">
        <f>SUM(D86:D91)</f>
        <v>29000000</v>
      </c>
      <c r="E85" s="219"/>
      <c r="F85" s="219"/>
    </row>
    <row r="86" spans="1:8" s="218" customFormat="1" ht="20.25" customHeight="1">
      <c r="A86" s="214"/>
      <c r="B86" s="223" t="s">
        <v>287</v>
      </c>
      <c r="C86" s="215">
        <v>8000000</v>
      </c>
      <c r="D86" s="215"/>
      <c r="E86" s="217"/>
      <c r="F86" s="217"/>
    </row>
    <row r="87" spans="1:8" s="218" customFormat="1" ht="20.25" customHeight="1">
      <c r="A87" s="214"/>
      <c r="B87" s="223" t="s">
        <v>216</v>
      </c>
      <c r="C87" s="215">
        <v>16000000</v>
      </c>
      <c r="D87" s="215"/>
      <c r="E87" s="217"/>
      <c r="F87" s="217"/>
    </row>
    <row r="88" spans="1:8" s="218" customFormat="1" ht="20.25" customHeight="1">
      <c r="A88" s="230"/>
      <c r="B88" s="214" t="s">
        <v>288</v>
      </c>
      <c r="C88" s="215">
        <f>200000*38*2+0.6*2*1210000</f>
        <v>16652000</v>
      </c>
      <c r="D88" s="215"/>
      <c r="E88" s="216"/>
      <c r="F88" s="216"/>
    </row>
    <row r="89" spans="1:8" s="218" customFormat="1" ht="20.25" customHeight="1">
      <c r="A89" s="231"/>
      <c r="B89" s="232" t="s">
        <v>218</v>
      </c>
      <c r="C89" s="215">
        <v>35000000</v>
      </c>
      <c r="D89" s="215"/>
      <c r="E89" s="216"/>
      <c r="F89" s="216"/>
    </row>
    <row r="90" spans="1:8" s="218" customFormat="1" ht="20.25" customHeight="1">
      <c r="A90" s="214"/>
      <c r="B90" s="214" t="s">
        <v>220</v>
      </c>
      <c r="C90" s="215">
        <v>30000000</v>
      </c>
      <c r="D90" s="215">
        <v>29000000</v>
      </c>
      <c r="E90" s="217"/>
      <c r="F90" s="217"/>
    </row>
    <row r="91" spans="1:8" s="218" customFormat="1" ht="20.25" customHeight="1">
      <c r="A91" s="214"/>
      <c r="B91" s="214" t="s">
        <v>221</v>
      </c>
      <c r="C91" s="215">
        <f>4500000+5508200</f>
        <v>10008200</v>
      </c>
      <c r="D91" s="215"/>
      <c r="E91" s="217"/>
      <c r="F91" s="217"/>
    </row>
    <row r="92" spans="1:8" s="220" customFormat="1" ht="20.25" customHeight="1">
      <c r="A92" s="211">
        <v>7850</v>
      </c>
      <c r="B92" s="211" t="s">
        <v>222</v>
      </c>
      <c r="C92" s="212">
        <f>C93</f>
        <v>600000</v>
      </c>
      <c r="D92" s="212"/>
      <c r="E92" s="219"/>
      <c r="F92" s="219"/>
    </row>
    <row r="93" spans="1:8" s="218" customFormat="1" ht="20.25" customHeight="1">
      <c r="A93" s="214"/>
      <c r="B93" s="214" t="s">
        <v>223</v>
      </c>
      <c r="C93" s="215">
        <v>600000</v>
      </c>
      <c r="D93" s="215"/>
      <c r="E93" s="217"/>
      <c r="F93" s="217"/>
    </row>
    <row r="94" spans="1:8" s="220" customFormat="1" ht="20.25" customHeight="1">
      <c r="A94" s="211" t="s">
        <v>309</v>
      </c>
      <c r="B94" s="211" t="s">
        <v>310</v>
      </c>
      <c r="C94" s="212">
        <f>SUM(C95)</f>
        <v>120763000</v>
      </c>
      <c r="D94" s="212"/>
      <c r="E94" s="219"/>
      <c r="F94" s="219"/>
    </row>
    <row r="95" spans="1:8" s="218" customFormat="1" ht="20.25" customHeight="1">
      <c r="A95" s="214"/>
      <c r="B95" s="25" t="s">
        <v>57</v>
      </c>
      <c r="C95" s="215">
        <v>120763000</v>
      </c>
      <c r="D95" s="215"/>
      <c r="E95" s="217"/>
      <c r="F95" s="217"/>
    </row>
    <row r="96" spans="1:8" s="180" customFormat="1" ht="31.5" customHeight="1">
      <c r="A96" s="178" t="s">
        <v>29</v>
      </c>
      <c r="B96" s="179" t="s">
        <v>39</v>
      </c>
      <c r="C96" s="212">
        <f>C97</f>
        <v>1899450400</v>
      </c>
      <c r="D96" s="212">
        <f t="shared" ref="D96:E96" si="3">D97</f>
        <v>982829911</v>
      </c>
      <c r="E96" s="233">
        <f t="shared" si="3"/>
        <v>0</v>
      </c>
      <c r="F96" s="233"/>
    </row>
    <row r="97" spans="1:8" s="263" customFormat="1" ht="31.5" customHeight="1">
      <c r="A97" s="281" t="s">
        <v>227</v>
      </c>
      <c r="B97" s="281"/>
      <c r="C97" s="212">
        <f>C98+C100+C105+C107+C110+C113+C115+C117+C120</f>
        <v>1899450400</v>
      </c>
      <c r="D97" s="212">
        <f>D98+D100+D105+D107+D110+D113+D115+D117+D120</f>
        <v>982829911</v>
      </c>
      <c r="E97" s="261">
        <f>E98+E100+E105+E107+E110+E113+E115+E117+E120</f>
        <v>0</v>
      </c>
      <c r="F97" s="262"/>
    </row>
    <row r="98" spans="1:8" s="180" customFormat="1" ht="16.899999999999999" customHeight="1">
      <c r="A98" s="211">
        <v>6100</v>
      </c>
      <c r="B98" s="234" t="s">
        <v>73</v>
      </c>
      <c r="C98" s="212">
        <f>SUM(C99)</f>
        <v>4500000</v>
      </c>
      <c r="D98" s="212"/>
      <c r="E98" s="235"/>
      <c r="F98" s="216"/>
    </row>
    <row r="99" spans="1:8" s="180" customFormat="1" ht="16.899999999999999" customHeight="1">
      <c r="A99" s="214"/>
      <c r="B99" s="236" t="s">
        <v>233</v>
      </c>
      <c r="C99" s="215">
        <v>4500000</v>
      </c>
      <c r="D99" s="215"/>
      <c r="E99" s="237"/>
      <c r="F99" s="237"/>
    </row>
    <row r="100" spans="1:8" s="180" customFormat="1" ht="16.899999999999999" customHeight="1">
      <c r="A100" s="211">
        <v>6300</v>
      </c>
      <c r="B100" s="234" t="s">
        <v>72</v>
      </c>
      <c r="C100" s="238">
        <f>SUM(C101:C104)</f>
        <v>83546448</v>
      </c>
      <c r="D100" s="238">
        <f>SUM(D101:D104)</f>
        <v>31894638</v>
      </c>
      <c r="E100" s="235"/>
      <c r="F100" s="215"/>
    </row>
    <row r="101" spans="1:8" s="180" customFormat="1" ht="16.899999999999999" customHeight="1">
      <c r="A101" s="214">
        <v>6301</v>
      </c>
      <c r="B101" s="236" t="s">
        <v>229</v>
      </c>
      <c r="C101" s="239">
        <f>C111*17.5%</f>
        <v>62215439.999999993</v>
      </c>
      <c r="D101" s="239">
        <v>23750790</v>
      </c>
      <c r="E101" s="235"/>
      <c r="F101" s="216"/>
    </row>
    <row r="102" spans="1:8" s="180" customFormat="1" ht="16.899999999999999" customHeight="1">
      <c r="A102" s="214">
        <v>6302</v>
      </c>
      <c r="B102" s="236" t="s">
        <v>230</v>
      </c>
      <c r="C102" s="239">
        <f>C111*3%</f>
        <v>10665504</v>
      </c>
      <c r="D102" s="239">
        <v>4072284</v>
      </c>
      <c r="E102" s="235"/>
      <c r="F102" s="240"/>
    </row>
    <row r="103" spans="1:8" s="180" customFormat="1" ht="16.899999999999999" customHeight="1">
      <c r="A103" s="214">
        <v>6303</v>
      </c>
      <c r="B103" s="236" t="s">
        <v>231</v>
      </c>
      <c r="C103" s="239">
        <f>C111*2%</f>
        <v>7110336</v>
      </c>
      <c r="D103" s="239">
        <v>2714376</v>
      </c>
      <c r="E103" s="235"/>
      <c r="F103" s="216"/>
    </row>
    <row r="104" spans="1:8" s="180" customFormat="1" ht="16.899999999999999" customHeight="1">
      <c r="A104" s="214">
        <v>6304</v>
      </c>
      <c r="B104" s="236" t="s">
        <v>232</v>
      </c>
      <c r="C104" s="239">
        <f>C111*1%</f>
        <v>3555168</v>
      </c>
      <c r="D104" s="239">
        <v>1357188</v>
      </c>
      <c r="E104" s="235"/>
      <c r="F104" s="241"/>
    </row>
    <row r="105" spans="1:8" s="180" customFormat="1" ht="16.899999999999999" customHeight="1">
      <c r="A105" s="211">
        <v>6400</v>
      </c>
      <c r="B105" s="234" t="s">
        <v>239</v>
      </c>
      <c r="C105" s="212">
        <f>SUM(C106:C106)</f>
        <v>789546400</v>
      </c>
      <c r="D105" s="212">
        <f>SUM(D106:D106)</f>
        <v>729460021</v>
      </c>
      <c r="E105" s="235"/>
      <c r="F105" s="241"/>
    </row>
    <row r="106" spans="1:8" s="180" customFormat="1" ht="16.899999999999999" customHeight="1">
      <c r="A106" s="214">
        <v>6449</v>
      </c>
      <c r="B106" s="236" t="s">
        <v>289</v>
      </c>
      <c r="C106" s="215">
        <v>789546400</v>
      </c>
      <c r="D106" s="215">
        <v>729460021</v>
      </c>
      <c r="E106" s="235"/>
      <c r="F106" s="215"/>
      <c r="H106" s="242"/>
    </row>
    <row r="107" spans="1:8" s="180" customFormat="1" ht="16.899999999999999" customHeight="1">
      <c r="A107" s="211">
        <v>6550</v>
      </c>
      <c r="B107" s="243" t="s">
        <v>75</v>
      </c>
      <c r="C107" s="212">
        <f>SUM(C108:C109)</f>
        <v>169340752</v>
      </c>
      <c r="D107" s="212">
        <f>SUM(D108:D109)</f>
        <v>42662000</v>
      </c>
      <c r="E107" s="244"/>
      <c r="F107" s="237"/>
    </row>
    <row r="108" spans="1:8" s="180" customFormat="1" ht="16.899999999999999" customHeight="1">
      <c r="A108" s="214"/>
      <c r="B108" s="236" t="s">
        <v>290</v>
      </c>
      <c r="C108" s="215">
        <v>78000000</v>
      </c>
      <c r="D108" s="215"/>
      <c r="E108" s="235"/>
      <c r="F108" s="216"/>
    </row>
    <row r="109" spans="1:8" s="180" customFormat="1" ht="16.899999999999999" customHeight="1">
      <c r="A109" s="214"/>
      <c r="B109" s="236" t="s">
        <v>291</v>
      </c>
      <c r="C109" s="215">
        <f>21340752+100000000-30000000</f>
        <v>91340752</v>
      </c>
      <c r="D109" s="215">
        <v>42662000</v>
      </c>
      <c r="E109" s="237"/>
      <c r="F109" s="212"/>
    </row>
    <row r="110" spans="1:8" s="180" customFormat="1" ht="16.899999999999999" customHeight="1">
      <c r="A110" s="211">
        <v>6750</v>
      </c>
      <c r="B110" s="243" t="s">
        <v>235</v>
      </c>
      <c r="C110" s="212">
        <f>SUM(C111:C112)</f>
        <v>375516800</v>
      </c>
      <c r="D110" s="212">
        <f>SUM(D111:D112)</f>
        <v>168813252</v>
      </c>
      <c r="E110" s="235"/>
      <c r="F110" s="215"/>
    </row>
    <row r="111" spans="1:8" s="180" customFormat="1" ht="16.899999999999999" customHeight="1">
      <c r="A111" s="214"/>
      <c r="B111" s="236" t="s">
        <v>236</v>
      </c>
      <c r="C111" s="215">
        <f>8*9*4729400+15000000</f>
        <v>355516800</v>
      </c>
      <c r="D111" s="215">
        <v>158813252</v>
      </c>
      <c r="E111" s="237"/>
      <c r="F111" s="212"/>
    </row>
    <row r="112" spans="1:8" s="180" customFormat="1" ht="16.899999999999999" customHeight="1">
      <c r="A112" s="214"/>
      <c r="B112" s="236" t="s">
        <v>79</v>
      </c>
      <c r="C112" s="215">
        <v>20000000</v>
      </c>
      <c r="D112" s="215">
        <v>10000000</v>
      </c>
      <c r="E112" s="216"/>
      <c r="F112" s="215"/>
    </row>
    <row r="113" spans="1:6" s="180" customFormat="1" ht="16.899999999999999" customHeight="1">
      <c r="A113" s="211">
        <v>6950</v>
      </c>
      <c r="B113" s="243" t="s">
        <v>292</v>
      </c>
      <c r="C113" s="212">
        <f>SUM(C114)</f>
        <v>205000000</v>
      </c>
      <c r="D113" s="212">
        <f>SUM(D114)</f>
        <v>0</v>
      </c>
      <c r="E113" s="237"/>
      <c r="F113" s="237"/>
    </row>
    <row r="114" spans="1:6" s="180" customFormat="1" ht="16.899999999999999" customHeight="1">
      <c r="A114" s="214"/>
      <c r="B114" s="236" t="s">
        <v>293</v>
      </c>
      <c r="C114" s="215">
        <v>205000000</v>
      </c>
      <c r="D114" s="215"/>
      <c r="E114" s="235"/>
      <c r="F114" s="216"/>
    </row>
    <row r="115" spans="1:6" s="180" customFormat="1" ht="16.899999999999999" customHeight="1">
      <c r="A115" s="237">
        <v>7000</v>
      </c>
      <c r="B115" s="234" t="s">
        <v>237</v>
      </c>
      <c r="C115" s="245">
        <f>SUM(C116)</f>
        <v>1200000</v>
      </c>
      <c r="D115" s="245">
        <f>SUM(D116)</f>
        <v>0</v>
      </c>
      <c r="E115" s="235"/>
      <c r="F115" s="216"/>
    </row>
    <row r="116" spans="1:6" s="180" customFormat="1" ht="16.899999999999999" customHeight="1">
      <c r="A116" s="216"/>
      <c r="B116" s="236" t="s">
        <v>294</v>
      </c>
      <c r="C116" s="246">
        <v>1200000</v>
      </c>
      <c r="D116" s="246"/>
      <c r="E116" s="41"/>
      <c r="F116" s="41"/>
    </row>
    <row r="117" spans="1:6" s="180" customFormat="1" ht="18" customHeight="1">
      <c r="A117" s="211">
        <v>7750</v>
      </c>
      <c r="B117" s="248" t="s">
        <v>249</v>
      </c>
      <c r="C117" s="212">
        <f>SUM(C118:C119)</f>
        <v>40800000</v>
      </c>
      <c r="D117" s="212">
        <f>SUM(D118:D119)</f>
        <v>10000000</v>
      </c>
      <c r="E117" s="41"/>
      <c r="F117" s="41"/>
    </row>
    <row r="118" spans="1:6" s="180" customFormat="1" ht="16.899999999999999" customHeight="1">
      <c r="A118" s="214"/>
      <c r="B118" s="249" t="s">
        <v>251</v>
      </c>
      <c r="C118" s="215">
        <v>10800000</v>
      </c>
      <c r="D118" s="215"/>
      <c r="E118" s="41"/>
      <c r="F118" s="41"/>
    </row>
    <row r="119" spans="1:6" s="180" customFormat="1" ht="16.899999999999999" customHeight="1">
      <c r="A119" s="214"/>
      <c r="B119" s="249" t="s">
        <v>295</v>
      </c>
      <c r="C119" s="215">
        <v>30000000</v>
      </c>
      <c r="D119" s="215">
        <v>10000000</v>
      </c>
      <c r="E119" s="41"/>
      <c r="F119" s="41"/>
    </row>
    <row r="120" spans="1:6" s="180" customFormat="1" ht="16.899999999999999" customHeight="1">
      <c r="A120" s="211">
        <v>8000</v>
      </c>
      <c r="B120" s="234" t="s">
        <v>296</v>
      </c>
      <c r="C120" s="212">
        <f>SUM(C121:C122)</f>
        <v>230000000</v>
      </c>
      <c r="D120" s="212">
        <f>SUM(D121:D122)</f>
        <v>0</v>
      </c>
      <c r="E120" s="250"/>
      <c r="F120" s="250"/>
    </row>
    <row r="121" spans="1:6" s="180" customFormat="1" ht="16.899999999999999" customHeight="1">
      <c r="A121" s="214"/>
      <c r="B121" s="236" t="s">
        <v>297</v>
      </c>
      <c r="C121" s="215">
        <v>93000000</v>
      </c>
      <c r="D121" s="215"/>
      <c r="E121" s="250"/>
      <c r="F121" s="250"/>
    </row>
    <row r="122" spans="1:6" s="180" customFormat="1" ht="16.899999999999999" customHeight="1">
      <c r="A122" s="214"/>
      <c r="B122" s="236" t="s">
        <v>298</v>
      </c>
      <c r="C122" s="215">
        <v>137000000</v>
      </c>
      <c r="D122" s="215"/>
      <c r="E122" s="250"/>
      <c r="F122" s="250"/>
    </row>
    <row r="123" spans="1:6" s="20" customFormat="1" ht="16.899999999999999" customHeight="1">
      <c r="D123" s="38"/>
      <c r="E123" s="38"/>
      <c r="F123" s="38"/>
    </row>
    <row r="124" spans="1:6" s="20" customFormat="1" ht="15.75">
      <c r="A124" s="21"/>
      <c r="B124" s="282" t="s">
        <v>307</v>
      </c>
      <c r="C124" s="282"/>
      <c r="D124" s="282"/>
      <c r="E124" s="282"/>
      <c r="F124" s="282"/>
    </row>
    <row r="125" spans="1:6" s="20" customFormat="1" ht="15.75">
      <c r="A125" s="21"/>
      <c r="B125" s="270" t="s">
        <v>305</v>
      </c>
      <c r="C125" s="270"/>
      <c r="D125" s="270"/>
      <c r="E125" s="270"/>
      <c r="F125" s="270"/>
    </row>
    <row r="126" spans="1:6" s="20" customFormat="1" ht="15.75">
      <c r="A126" s="21"/>
    </row>
    <row r="127" spans="1:6" ht="16.899999999999999" customHeight="1"/>
    <row r="128" spans="1:6" ht="16.899999999999999" customHeight="1"/>
  </sheetData>
  <mergeCells count="16">
    <mergeCell ref="A97:B97"/>
    <mergeCell ref="B125:F125"/>
    <mergeCell ref="B124:F124"/>
    <mergeCell ref="A5:F5"/>
    <mergeCell ref="A6:F6"/>
    <mergeCell ref="E7:F7"/>
    <mergeCell ref="A8:A9"/>
    <mergeCell ref="B8:B9"/>
    <mergeCell ref="C8:C9"/>
    <mergeCell ref="D8:D9"/>
    <mergeCell ref="E8:F8"/>
    <mergeCell ref="A1:F1"/>
    <mergeCell ref="A2:B2"/>
    <mergeCell ref="E2:F2"/>
    <mergeCell ref="A3:B3"/>
    <mergeCell ref="A4:F4"/>
  </mergeCells>
  <pageMargins left="0.51181102362204722" right="0.19685039370078741" top="0.43307086614173229" bottom="0.3937007874015748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9"/>
  <sheetViews>
    <sheetView topLeftCell="A145" workbookViewId="0">
      <selection activeCell="I12" sqref="I12"/>
    </sheetView>
  </sheetViews>
  <sheetFormatPr defaultRowHeight="15"/>
  <cols>
    <col min="1" max="1" width="6.85546875" customWidth="1"/>
    <col min="2" max="2" width="58.5703125" customWidth="1"/>
    <col min="3" max="3" width="16.42578125" style="186" customWidth="1"/>
    <col min="4" max="4" width="15.85546875" style="186" customWidth="1"/>
    <col min="5" max="5" width="8.42578125" customWidth="1"/>
    <col min="6" max="6" width="10.5703125" customWidth="1"/>
    <col min="7" max="7" width="8.28515625" bestFit="1" customWidth="1"/>
    <col min="8" max="8" width="10.28515625" customWidth="1"/>
    <col min="9" max="9" width="14.7109375" customWidth="1"/>
  </cols>
  <sheetData>
    <row r="1" spans="1:8" ht="34.5" customHeight="1">
      <c r="A1" s="272" t="s">
        <v>83</v>
      </c>
      <c r="B1" s="272"/>
      <c r="C1" s="272"/>
      <c r="D1" s="272"/>
      <c r="E1" s="272"/>
      <c r="F1" s="272"/>
      <c r="G1" s="272"/>
    </row>
    <row r="2" spans="1:8" s="52" customFormat="1" ht="18.75">
      <c r="A2" s="293" t="str">
        <f>'Bieu 3'!A2:B2</f>
        <v>Trường THCS MỸ THẠNH</v>
      </c>
      <c r="B2" s="293"/>
      <c r="C2" s="37"/>
      <c r="D2" s="36"/>
      <c r="E2" s="37"/>
      <c r="F2" s="37"/>
    </row>
    <row r="3" spans="1:8" ht="15.75">
      <c r="A3" s="294" t="str">
        <f>'Bieu 3'!A3:B3</f>
        <v xml:space="preserve"> Chương: 622</v>
      </c>
      <c r="B3" s="294"/>
      <c r="C3" s="3"/>
      <c r="D3" s="2"/>
      <c r="E3" s="3"/>
      <c r="F3" s="3"/>
    </row>
    <row r="4" spans="1:8" ht="22.5" customHeight="1">
      <c r="A4" s="295" t="s">
        <v>258</v>
      </c>
      <c r="B4" s="295"/>
      <c r="C4" s="295"/>
      <c r="D4" s="295"/>
      <c r="E4" s="295"/>
      <c r="F4" s="295"/>
      <c r="G4" s="295"/>
    </row>
    <row r="5" spans="1:8" s="1" customFormat="1" ht="18">
      <c r="A5" s="298" t="s">
        <v>311</v>
      </c>
      <c r="B5" s="298"/>
      <c r="C5" s="298"/>
      <c r="D5" s="298"/>
      <c r="E5" s="298"/>
      <c r="F5" s="298"/>
      <c r="G5" s="298"/>
      <c r="H5" s="3"/>
    </row>
    <row r="6" spans="1:8" ht="15.75">
      <c r="A6" s="296" t="s">
        <v>6</v>
      </c>
      <c r="B6" s="296"/>
      <c r="C6" s="296"/>
      <c r="D6" s="296"/>
      <c r="E6" s="296"/>
      <c r="F6" s="296"/>
      <c r="G6" s="296"/>
    </row>
    <row r="7" spans="1:8" ht="15.75">
      <c r="A7" s="296" t="s">
        <v>19</v>
      </c>
      <c r="B7" s="296"/>
      <c r="C7" s="296"/>
      <c r="D7" s="296"/>
      <c r="E7" s="296"/>
      <c r="F7" s="296"/>
      <c r="G7" s="296"/>
    </row>
    <row r="8" spans="1:8" ht="15.75">
      <c r="A8" s="3"/>
      <c r="B8" s="3"/>
      <c r="C8" s="297" t="s">
        <v>85</v>
      </c>
      <c r="D8" s="297"/>
      <c r="E8" s="297"/>
      <c r="F8" s="297"/>
      <c r="G8" s="297"/>
      <c r="H8" s="11"/>
    </row>
    <row r="9" spans="1:8" s="16" customFormat="1" ht="15.75">
      <c r="A9" s="299" t="s">
        <v>18</v>
      </c>
      <c r="B9" s="303" t="s">
        <v>8</v>
      </c>
      <c r="C9" s="301" t="s">
        <v>13</v>
      </c>
      <c r="D9" s="299" t="s">
        <v>12</v>
      </c>
      <c r="E9" s="305" t="s">
        <v>15</v>
      </c>
      <c r="F9" s="305"/>
      <c r="G9" s="305"/>
      <c r="H9" s="15"/>
    </row>
    <row r="10" spans="1:8" s="16" customFormat="1" ht="51.75" customHeight="1">
      <c r="A10" s="304"/>
      <c r="B10" s="304"/>
      <c r="C10" s="302"/>
      <c r="D10" s="300"/>
      <c r="E10" s="14" t="s">
        <v>46</v>
      </c>
      <c r="F10" s="14" t="s">
        <v>16</v>
      </c>
      <c r="G10" s="14" t="s">
        <v>17</v>
      </c>
    </row>
    <row r="11" spans="1:8" s="56" customFormat="1" ht="18">
      <c r="A11" s="19" t="s">
        <v>1</v>
      </c>
      <c r="B11" s="53" t="s">
        <v>7</v>
      </c>
      <c r="C11" s="247">
        <v>283760000</v>
      </c>
      <c r="D11" s="247">
        <f>D12</f>
        <v>283760000</v>
      </c>
      <c r="E11" s="54"/>
      <c r="F11" s="54"/>
      <c r="G11" s="55"/>
      <c r="H11" s="18"/>
    </row>
    <row r="12" spans="1:8" s="1" customFormat="1" ht="18">
      <c r="A12" s="6" t="s">
        <v>0</v>
      </c>
      <c r="B12" s="12" t="s">
        <v>2</v>
      </c>
      <c r="C12" s="254">
        <f>C13+C18</f>
        <v>283760000</v>
      </c>
      <c r="D12" s="254">
        <f>D13+D18</f>
        <v>283760000</v>
      </c>
      <c r="E12" s="4"/>
      <c r="F12" s="4"/>
      <c r="G12" s="5"/>
      <c r="H12" s="3"/>
    </row>
    <row r="13" spans="1:8" s="56" customFormat="1" ht="18">
      <c r="A13" s="67">
        <v>1</v>
      </c>
      <c r="B13" s="53" t="s">
        <v>26</v>
      </c>
      <c r="C13" s="255">
        <v>275760000</v>
      </c>
      <c r="D13" s="255">
        <f>D14</f>
        <v>275760000</v>
      </c>
      <c r="E13" s="55"/>
      <c r="F13" s="55"/>
      <c r="G13" s="55"/>
      <c r="H13" s="66"/>
    </row>
    <row r="14" spans="1:8" s="56" customFormat="1" ht="18">
      <c r="A14" s="67" t="s">
        <v>27</v>
      </c>
      <c r="B14" s="53" t="s">
        <v>28</v>
      </c>
      <c r="C14" s="256">
        <v>275760000</v>
      </c>
      <c r="D14" s="256">
        <f>D15</f>
        <v>275760000</v>
      </c>
      <c r="E14" s="55"/>
      <c r="F14" s="55"/>
      <c r="G14" s="55"/>
      <c r="H14" s="66"/>
    </row>
    <row r="15" spans="1:8" s="1" customFormat="1" ht="18">
      <c r="A15" s="6"/>
      <c r="B15" s="12" t="s">
        <v>259</v>
      </c>
      <c r="C15" s="187">
        <v>275760000</v>
      </c>
      <c r="D15" s="187">
        <f>C15</f>
        <v>275760000</v>
      </c>
      <c r="E15" s="5"/>
      <c r="F15" s="5"/>
      <c r="G15" s="5"/>
      <c r="H15" s="3"/>
    </row>
    <row r="16" spans="1:8" s="56" customFormat="1" ht="18">
      <c r="A16" s="67" t="s">
        <v>29</v>
      </c>
      <c r="B16" s="53" t="s">
        <v>30</v>
      </c>
      <c r="C16" s="7"/>
      <c r="D16" s="55"/>
      <c r="E16" s="55"/>
      <c r="F16" s="55"/>
      <c r="G16" s="55"/>
      <c r="H16" s="66"/>
    </row>
    <row r="17" spans="1:9" ht="15.75">
      <c r="A17" s="6">
        <v>2</v>
      </c>
      <c r="B17" s="7" t="s">
        <v>3</v>
      </c>
      <c r="C17" s="9"/>
      <c r="D17" s="5"/>
      <c r="E17" s="5"/>
      <c r="F17" s="5"/>
      <c r="G17" s="17"/>
    </row>
    <row r="18" spans="1:9" s="16" customFormat="1" ht="15.75">
      <c r="A18" s="198">
        <v>3</v>
      </c>
      <c r="B18" s="189" t="s">
        <v>260</v>
      </c>
      <c r="C18" s="269">
        <f>20000000*40%</f>
        <v>8000000</v>
      </c>
      <c r="D18" s="190">
        <f>C18</f>
        <v>8000000</v>
      </c>
      <c r="E18" s="55"/>
      <c r="F18" s="55"/>
      <c r="G18" s="184"/>
    </row>
    <row r="19" spans="1:9" s="16" customFormat="1" ht="15.75">
      <c r="A19" s="67" t="s">
        <v>5</v>
      </c>
      <c r="B19" s="189" t="s">
        <v>44</v>
      </c>
      <c r="C19" s="255">
        <f>C20</f>
        <v>122000000</v>
      </c>
      <c r="D19" s="188">
        <f>D20</f>
        <v>122000000</v>
      </c>
      <c r="E19" s="55"/>
      <c r="F19" s="55"/>
      <c r="G19" s="184"/>
    </row>
    <row r="20" spans="1:9" s="1" customFormat="1" ht="18">
      <c r="A20" s="6">
        <v>7799</v>
      </c>
      <c r="B20" s="12" t="s">
        <v>308</v>
      </c>
      <c r="C20" s="187">
        <f>61*2000000</f>
        <v>122000000</v>
      </c>
      <c r="D20" s="187">
        <f>C20</f>
        <v>122000000</v>
      </c>
      <c r="E20" s="5"/>
      <c r="F20" s="5"/>
      <c r="G20" s="5"/>
      <c r="H20" s="3"/>
    </row>
    <row r="21" spans="1:9" s="1" customFormat="1" ht="18" hidden="1">
      <c r="A21" s="6"/>
      <c r="B21" s="12"/>
      <c r="C21" s="7"/>
      <c r="D21" s="5"/>
      <c r="E21" s="5"/>
      <c r="F21" s="5"/>
      <c r="G21" s="5"/>
      <c r="H21" s="3"/>
    </row>
    <row r="22" spans="1:9" s="1" customFormat="1" ht="18" hidden="1">
      <c r="A22" s="6"/>
      <c r="B22" s="12"/>
      <c r="C22" s="9"/>
      <c r="D22" s="5"/>
      <c r="E22" s="5"/>
      <c r="F22" s="5"/>
      <c r="G22" s="5"/>
      <c r="H22" s="3"/>
    </row>
    <row r="23" spans="1:9" s="1" customFormat="1" ht="18" hidden="1">
      <c r="A23" s="6"/>
      <c r="B23" s="12"/>
      <c r="C23" s="7"/>
      <c r="D23" s="5"/>
      <c r="E23" s="5"/>
      <c r="F23" s="5"/>
      <c r="G23" s="5"/>
      <c r="H23" s="3"/>
    </row>
    <row r="24" spans="1:9" s="1" customFormat="1" ht="18" hidden="1">
      <c r="A24" s="6"/>
      <c r="B24" s="12"/>
      <c r="C24" s="8"/>
      <c r="D24" s="5"/>
      <c r="E24" s="5"/>
      <c r="F24" s="5"/>
      <c r="G24" s="5"/>
      <c r="H24" s="3"/>
    </row>
    <row r="25" spans="1:9" s="1" customFormat="1" ht="18" hidden="1">
      <c r="A25" s="6"/>
      <c r="B25" s="13"/>
      <c r="C25" s="7"/>
      <c r="D25" s="5"/>
      <c r="E25" s="5"/>
      <c r="F25" s="5"/>
      <c r="G25" s="5"/>
      <c r="H25" s="3"/>
    </row>
    <row r="26" spans="1:9" s="1" customFormat="1" ht="18" hidden="1">
      <c r="A26" s="6"/>
      <c r="B26" s="12"/>
      <c r="C26" s="8"/>
      <c r="D26" s="5"/>
      <c r="E26" s="5"/>
      <c r="F26" s="5"/>
      <c r="G26" s="5"/>
      <c r="H26" s="3"/>
    </row>
    <row r="27" spans="1:9" ht="15.75" hidden="1">
      <c r="A27" s="6"/>
      <c r="B27" s="7"/>
      <c r="C27" s="9"/>
      <c r="D27" s="5"/>
      <c r="E27" s="5"/>
      <c r="F27" s="5"/>
      <c r="G27" s="17"/>
    </row>
    <row r="28" spans="1:9" ht="15.75" hidden="1">
      <c r="A28" s="6"/>
      <c r="B28" s="7"/>
      <c r="C28" s="9"/>
      <c r="D28" s="5"/>
      <c r="E28" s="5"/>
      <c r="F28" s="5"/>
      <c r="G28" s="17"/>
    </row>
    <row r="29" spans="1:9" s="56" customFormat="1" ht="18">
      <c r="A29" s="19" t="s">
        <v>4</v>
      </c>
      <c r="B29" s="53" t="s">
        <v>14</v>
      </c>
      <c r="C29" s="10"/>
      <c r="D29" s="55"/>
      <c r="E29" s="55"/>
      <c r="F29" s="55"/>
      <c r="G29" s="55"/>
      <c r="H29" s="18"/>
    </row>
    <row r="30" spans="1:9" s="1" customFormat="1" ht="18">
      <c r="A30" s="6">
        <v>1</v>
      </c>
      <c r="B30" s="12" t="s">
        <v>10</v>
      </c>
      <c r="C30" s="10"/>
      <c r="D30" s="5"/>
      <c r="E30" s="5"/>
      <c r="F30" s="5"/>
      <c r="G30" s="5"/>
      <c r="H30" s="3"/>
    </row>
    <row r="31" spans="1:9" s="56" customFormat="1" ht="18">
      <c r="A31" s="50" t="s">
        <v>27</v>
      </c>
      <c r="B31" s="51" t="s">
        <v>38</v>
      </c>
      <c r="C31" s="46">
        <f>C32+C35+C37+C43+C48+C89</f>
        <v>3266215381</v>
      </c>
      <c r="D31" s="46">
        <f>D32+D35+D37+D43+D48+D89</f>
        <v>3266215381</v>
      </c>
      <c r="E31" s="55"/>
      <c r="F31" s="55"/>
      <c r="G31" s="55"/>
      <c r="H31" s="252"/>
      <c r="I31" s="253"/>
    </row>
    <row r="32" spans="1:9" s="56" customFormat="1" ht="18">
      <c r="A32" s="50"/>
      <c r="B32" s="211" t="s">
        <v>112</v>
      </c>
      <c r="C32" s="46">
        <v>1546863003</v>
      </c>
      <c r="D32" s="46">
        <v>1546863003</v>
      </c>
      <c r="E32" s="55"/>
      <c r="F32" s="55"/>
      <c r="G32" s="55"/>
      <c r="H32" s="252"/>
      <c r="I32" s="253"/>
    </row>
    <row r="33" spans="1:9" s="1" customFormat="1" ht="18">
      <c r="A33" s="50"/>
      <c r="B33" s="214" t="s">
        <v>267</v>
      </c>
      <c r="C33" s="45">
        <v>694985303</v>
      </c>
      <c r="D33" s="45">
        <v>694985303</v>
      </c>
      <c r="E33" s="5"/>
      <c r="F33" s="5"/>
      <c r="G33" s="5"/>
      <c r="H33" s="61"/>
      <c r="I33" s="63"/>
    </row>
    <row r="34" spans="1:9" s="1" customFormat="1" ht="18">
      <c r="A34" s="50"/>
      <c r="B34" s="214" t="s">
        <v>268</v>
      </c>
      <c r="C34" s="45">
        <v>851877700</v>
      </c>
      <c r="D34" s="45">
        <v>851877700</v>
      </c>
      <c r="E34" s="5"/>
      <c r="F34" s="5"/>
      <c r="G34" s="5"/>
      <c r="H34" s="61"/>
      <c r="I34" s="63"/>
    </row>
    <row r="35" spans="1:9" s="56" customFormat="1" ht="18">
      <c r="A35" s="50"/>
      <c r="B35" s="211" t="s">
        <v>269</v>
      </c>
      <c r="C35" s="46">
        <v>107278715</v>
      </c>
      <c r="D35" s="46">
        <v>107278715</v>
      </c>
      <c r="E35" s="55"/>
      <c r="F35" s="55"/>
      <c r="G35" s="55"/>
      <c r="H35" s="252"/>
      <c r="I35" s="253"/>
    </row>
    <row r="36" spans="1:9" s="1" customFormat="1" ht="18">
      <c r="A36" s="50"/>
      <c r="B36" s="214" t="s">
        <v>270</v>
      </c>
      <c r="C36" s="45">
        <v>107278715</v>
      </c>
      <c r="D36" s="45">
        <v>107278715</v>
      </c>
      <c r="E36" s="5"/>
      <c r="F36" s="5"/>
      <c r="G36" s="5"/>
      <c r="H36" s="61"/>
      <c r="I36" s="63"/>
    </row>
    <row r="37" spans="1:9" s="56" customFormat="1" ht="18">
      <c r="A37" s="50"/>
      <c r="B37" s="211" t="s">
        <v>73</v>
      </c>
      <c r="C37" s="46">
        <v>692642372</v>
      </c>
      <c r="D37" s="46">
        <v>692642372</v>
      </c>
      <c r="E37" s="55"/>
      <c r="F37" s="55"/>
      <c r="G37" s="55"/>
      <c r="H37" s="252"/>
      <c r="I37" s="253"/>
    </row>
    <row r="38" spans="1:9" s="1" customFormat="1" ht="18">
      <c r="A38" s="50"/>
      <c r="B38" s="214" t="s">
        <v>271</v>
      </c>
      <c r="C38" s="45">
        <v>36230840</v>
      </c>
      <c r="D38" s="45">
        <v>36230840</v>
      </c>
      <c r="E38" s="5"/>
      <c r="F38" s="5"/>
      <c r="G38" s="5"/>
      <c r="H38" s="61"/>
      <c r="I38" s="63"/>
    </row>
    <row r="39" spans="1:9" s="1" customFormat="1" ht="18">
      <c r="A39" s="50"/>
      <c r="B39" s="214" t="s">
        <v>272</v>
      </c>
      <c r="C39" s="45">
        <v>437814150</v>
      </c>
      <c r="D39" s="45">
        <v>437814150</v>
      </c>
      <c r="E39" s="5"/>
      <c r="F39" s="5"/>
      <c r="G39" s="5"/>
      <c r="H39" s="61"/>
      <c r="I39" s="63"/>
    </row>
    <row r="40" spans="1:9" s="1" customFormat="1" ht="18">
      <c r="A40" s="50"/>
      <c r="B40" s="214" t="s">
        <v>121</v>
      </c>
      <c r="C40" s="45">
        <v>2682000</v>
      </c>
      <c r="D40" s="45">
        <v>2682000</v>
      </c>
      <c r="E40" s="5"/>
      <c r="F40" s="5"/>
      <c r="G40" s="5"/>
      <c r="H40" s="61"/>
      <c r="I40" s="63"/>
    </row>
    <row r="41" spans="1:9" s="1" customFormat="1" ht="18">
      <c r="A41" s="50"/>
      <c r="B41" s="214" t="s">
        <v>273</v>
      </c>
      <c r="C41" s="45">
        <v>206565930</v>
      </c>
      <c r="D41" s="45">
        <v>206565930</v>
      </c>
      <c r="E41" s="5"/>
      <c r="F41" s="5"/>
      <c r="G41" s="5"/>
      <c r="H41" s="61"/>
      <c r="I41" s="63"/>
    </row>
    <row r="42" spans="1:9" s="1" customFormat="1" ht="18">
      <c r="A42" s="50"/>
      <c r="B42" s="214" t="s">
        <v>274</v>
      </c>
      <c r="C42" s="45">
        <v>9349452.0000000019</v>
      </c>
      <c r="D42" s="45">
        <v>9349452.0000000019</v>
      </c>
      <c r="E42" s="5"/>
      <c r="F42" s="5"/>
      <c r="G42" s="5"/>
      <c r="H42" s="61"/>
      <c r="I42" s="63"/>
    </row>
    <row r="43" spans="1:9" s="56" customFormat="1" ht="18">
      <c r="A43" s="50"/>
      <c r="B43" s="211" t="s">
        <v>72</v>
      </c>
      <c r="C43" s="46">
        <v>447182421</v>
      </c>
      <c r="D43" s="46">
        <v>447182421</v>
      </c>
      <c r="E43" s="55"/>
      <c r="F43" s="55"/>
      <c r="G43" s="55"/>
      <c r="H43" s="252"/>
      <c r="I43" s="253"/>
    </row>
    <row r="44" spans="1:9" s="1" customFormat="1" ht="18">
      <c r="A44" s="50"/>
      <c r="B44" s="214" t="s">
        <v>275</v>
      </c>
      <c r="C44" s="45">
        <v>328836398</v>
      </c>
      <c r="D44" s="45">
        <v>328836398</v>
      </c>
      <c r="E44" s="5"/>
      <c r="F44" s="5"/>
      <c r="G44" s="5"/>
      <c r="H44" s="61"/>
      <c r="I44" s="63"/>
    </row>
    <row r="45" spans="1:9" s="1" customFormat="1" ht="18">
      <c r="A45" s="50"/>
      <c r="B45" s="214" t="s">
        <v>126</v>
      </c>
      <c r="C45" s="45">
        <v>56371664</v>
      </c>
      <c r="D45" s="45">
        <v>56371664</v>
      </c>
      <c r="E45" s="5"/>
      <c r="F45" s="5"/>
      <c r="G45" s="5"/>
      <c r="H45" s="61"/>
      <c r="I45" s="63"/>
    </row>
    <row r="46" spans="1:9" s="1" customFormat="1" ht="18">
      <c r="A46" s="50"/>
      <c r="B46" s="214" t="s">
        <v>127</v>
      </c>
      <c r="C46" s="45">
        <v>43921407</v>
      </c>
      <c r="D46" s="45">
        <v>43921407</v>
      </c>
      <c r="E46" s="5"/>
      <c r="F46" s="5"/>
      <c r="G46" s="5"/>
      <c r="H46" s="61"/>
      <c r="I46" s="63"/>
    </row>
    <row r="47" spans="1:9" s="1" customFormat="1" ht="18">
      <c r="A47" s="50"/>
      <c r="B47" s="214" t="s">
        <v>129</v>
      </c>
      <c r="C47" s="45">
        <v>18052952</v>
      </c>
      <c r="D47" s="45">
        <v>18052952</v>
      </c>
      <c r="E47" s="5"/>
      <c r="F47" s="5"/>
      <c r="G47" s="5"/>
      <c r="H47" s="61"/>
      <c r="I47" s="63"/>
    </row>
    <row r="48" spans="1:9" s="56" customFormat="1" ht="18">
      <c r="A48" s="50"/>
      <c r="B48" s="221" t="s">
        <v>59</v>
      </c>
      <c r="C48" s="46">
        <v>443248870</v>
      </c>
      <c r="D48" s="46">
        <v>443248870</v>
      </c>
      <c r="E48" s="55"/>
      <c r="F48" s="55"/>
      <c r="G48" s="55"/>
      <c r="H48" s="252"/>
      <c r="I48" s="253"/>
    </row>
    <row r="49" spans="1:9" s="56" customFormat="1" ht="18">
      <c r="A49" s="50"/>
      <c r="B49" s="211" t="s">
        <v>74</v>
      </c>
      <c r="C49" s="46">
        <v>84946800</v>
      </c>
      <c r="D49" s="46">
        <v>84946800</v>
      </c>
      <c r="E49" s="55"/>
      <c r="F49" s="55"/>
      <c r="G49" s="55"/>
      <c r="H49" s="252"/>
      <c r="I49" s="253"/>
    </row>
    <row r="50" spans="1:9" s="1" customFormat="1" ht="18">
      <c r="A50" s="50"/>
      <c r="B50" s="214" t="s">
        <v>130</v>
      </c>
      <c r="C50" s="45">
        <v>84946800</v>
      </c>
      <c r="D50" s="45">
        <v>84946800</v>
      </c>
      <c r="E50" s="5"/>
      <c r="F50" s="5"/>
      <c r="G50" s="5"/>
      <c r="H50" s="61"/>
      <c r="I50" s="63"/>
    </row>
    <row r="51" spans="1:9" s="1" customFormat="1" ht="18">
      <c r="A51" s="251"/>
      <c r="B51" s="214" t="s">
        <v>131</v>
      </c>
      <c r="C51" s="45">
        <v>47537514</v>
      </c>
      <c r="D51" s="45">
        <v>47537514</v>
      </c>
      <c r="E51" s="5"/>
      <c r="F51" s="5"/>
      <c r="G51" s="5"/>
      <c r="H51" s="61"/>
      <c r="I51" s="63"/>
    </row>
    <row r="52" spans="1:9" s="1" customFormat="1" ht="18">
      <c r="A52" s="50"/>
      <c r="B52" s="214" t="s">
        <v>276</v>
      </c>
      <c r="C52" s="45">
        <v>46637514</v>
      </c>
      <c r="D52" s="45">
        <v>46637514</v>
      </c>
      <c r="E52" s="5"/>
      <c r="F52" s="5"/>
      <c r="G52" s="5"/>
      <c r="H52" s="61"/>
      <c r="I52" s="63"/>
    </row>
    <row r="53" spans="1:9" s="1" customFormat="1" ht="18">
      <c r="A53" s="50"/>
      <c r="B53" s="214" t="s">
        <v>133</v>
      </c>
      <c r="C53" s="45">
        <v>0</v>
      </c>
      <c r="D53" s="45">
        <v>0</v>
      </c>
      <c r="E53" s="5"/>
      <c r="F53" s="5"/>
      <c r="G53" s="5"/>
      <c r="H53" s="61"/>
      <c r="I53" s="63"/>
    </row>
    <row r="54" spans="1:9" s="1" customFormat="1" ht="18">
      <c r="A54" s="50"/>
      <c r="B54" s="214" t="s">
        <v>134</v>
      </c>
      <c r="C54" s="45">
        <v>900000</v>
      </c>
      <c r="D54" s="45">
        <v>900000</v>
      </c>
      <c r="E54" s="5"/>
      <c r="F54" s="5"/>
      <c r="G54" s="5"/>
      <c r="H54" s="61"/>
      <c r="I54" s="63"/>
    </row>
    <row r="55" spans="1:9" s="56" customFormat="1" ht="18">
      <c r="A55" s="50"/>
      <c r="B55" s="211" t="s">
        <v>135</v>
      </c>
      <c r="C55" s="46">
        <v>35723656</v>
      </c>
      <c r="D55" s="46">
        <v>35723656</v>
      </c>
      <c r="E55" s="55"/>
      <c r="F55" s="55"/>
      <c r="G55" s="55"/>
      <c r="H55" s="252"/>
      <c r="I55" s="253"/>
    </row>
    <row r="56" spans="1:9" s="1" customFormat="1" ht="18">
      <c r="A56" s="50"/>
      <c r="B56" s="214" t="s">
        <v>136</v>
      </c>
      <c r="C56" s="45">
        <v>35246000</v>
      </c>
      <c r="D56" s="45">
        <v>35246000</v>
      </c>
      <c r="E56" s="5"/>
      <c r="F56" s="5"/>
      <c r="G56" s="5"/>
      <c r="H56" s="61"/>
      <c r="I56" s="63"/>
    </row>
    <row r="57" spans="1:9" s="1" customFormat="1" ht="18">
      <c r="A57" s="50"/>
      <c r="B57" s="214" t="s">
        <v>137</v>
      </c>
      <c r="C57" s="45"/>
      <c r="D57" s="45"/>
      <c r="E57" s="5"/>
      <c r="F57" s="5"/>
      <c r="G57" s="5"/>
      <c r="H57" s="61"/>
      <c r="I57" s="63"/>
    </row>
    <row r="58" spans="1:9" s="1" customFormat="1" ht="18">
      <c r="A58" s="50"/>
      <c r="B58" s="214" t="s">
        <v>138</v>
      </c>
      <c r="C58" s="45"/>
      <c r="D58" s="45"/>
      <c r="E58" s="5"/>
      <c r="F58" s="5"/>
      <c r="G58" s="5"/>
      <c r="H58" s="61"/>
      <c r="I58" s="63"/>
    </row>
    <row r="59" spans="1:9" s="1" customFormat="1" ht="18">
      <c r="A59" s="50"/>
      <c r="B59" s="214" t="s">
        <v>139</v>
      </c>
      <c r="C59" s="45"/>
      <c r="D59" s="45"/>
      <c r="E59" s="5"/>
      <c r="F59" s="5"/>
      <c r="G59" s="5"/>
      <c r="H59" s="61"/>
      <c r="I59" s="63"/>
    </row>
    <row r="60" spans="1:9" s="1" customFormat="1" ht="18">
      <c r="A60" s="50"/>
      <c r="B60" s="214" t="s">
        <v>277</v>
      </c>
      <c r="C60" s="45">
        <v>477656</v>
      </c>
      <c r="D60" s="45">
        <v>477656</v>
      </c>
      <c r="E60" s="5"/>
      <c r="F60" s="5"/>
      <c r="G60" s="5"/>
      <c r="H60" s="61"/>
      <c r="I60" s="63"/>
    </row>
    <row r="61" spans="1:9" s="1" customFormat="1" ht="18">
      <c r="A61" s="50"/>
      <c r="B61" s="214" t="s">
        <v>278</v>
      </c>
      <c r="C61" s="45"/>
      <c r="D61" s="45"/>
      <c r="E61" s="5"/>
      <c r="F61" s="5"/>
      <c r="G61" s="5"/>
      <c r="H61" s="61"/>
      <c r="I61" s="63"/>
    </row>
    <row r="62" spans="1:9" s="56" customFormat="1" ht="18">
      <c r="A62" s="50"/>
      <c r="B62" s="211" t="s">
        <v>76</v>
      </c>
      <c r="C62" s="46">
        <v>7581800</v>
      </c>
      <c r="D62" s="46">
        <v>7581800</v>
      </c>
      <c r="E62" s="55"/>
      <c r="F62" s="55"/>
      <c r="G62" s="55"/>
      <c r="H62" s="252"/>
      <c r="I62" s="253"/>
    </row>
    <row r="63" spans="1:9" s="1" customFormat="1" ht="18">
      <c r="A63" s="50"/>
      <c r="B63" s="214" t="s">
        <v>143</v>
      </c>
      <c r="C63" s="45">
        <v>821800</v>
      </c>
      <c r="D63" s="45">
        <v>821800</v>
      </c>
      <c r="E63" s="5"/>
      <c r="F63" s="5"/>
      <c r="G63" s="5"/>
      <c r="H63" s="61"/>
      <c r="I63" s="63"/>
    </row>
    <row r="64" spans="1:9" s="1" customFormat="1" ht="18">
      <c r="A64" s="50"/>
      <c r="B64" s="214" t="s">
        <v>147</v>
      </c>
      <c r="C64" s="45">
        <v>3960000</v>
      </c>
      <c r="D64" s="45">
        <v>3960000</v>
      </c>
      <c r="E64" s="5"/>
      <c r="F64" s="5"/>
      <c r="G64" s="5"/>
      <c r="H64" s="61"/>
      <c r="I64" s="63"/>
    </row>
    <row r="65" spans="1:9" s="1" customFormat="1" ht="18">
      <c r="A65" s="50"/>
      <c r="B65" s="214" t="s">
        <v>148</v>
      </c>
      <c r="C65" s="45">
        <v>2800000</v>
      </c>
      <c r="D65" s="45">
        <v>2800000</v>
      </c>
      <c r="E65" s="5"/>
      <c r="F65" s="5"/>
      <c r="G65" s="5"/>
      <c r="H65" s="61"/>
      <c r="I65" s="63"/>
    </row>
    <row r="66" spans="1:9" s="1" customFormat="1" ht="18">
      <c r="A66" s="50"/>
      <c r="B66" s="214" t="s">
        <v>149</v>
      </c>
      <c r="C66" s="45"/>
      <c r="D66" s="45"/>
      <c r="E66" s="5"/>
      <c r="F66" s="5"/>
      <c r="G66" s="5"/>
      <c r="H66" s="61"/>
      <c r="I66" s="63"/>
    </row>
    <row r="67" spans="1:9" s="56" customFormat="1" ht="18">
      <c r="A67" s="50"/>
      <c r="B67" s="211" t="s">
        <v>77</v>
      </c>
      <c r="C67" s="46">
        <v>16830000</v>
      </c>
      <c r="D67" s="46">
        <v>16830000</v>
      </c>
      <c r="E67" s="55"/>
      <c r="F67" s="55"/>
      <c r="G67" s="55"/>
      <c r="H67" s="252"/>
      <c r="I67" s="253"/>
    </row>
    <row r="68" spans="1:9" s="1" customFormat="1" ht="18">
      <c r="A68" s="50"/>
      <c r="B68" s="214" t="s">
        <v>279</v>
      </c>
      <c r="C68" s="45">
        <v>1050000</v>
      </c>
      <c r="D68" s="45">
        <v>1050000</v>
      </c>
      <c r="E68" s="5"/>
      <c r="F68" s="5"/>
      <c r="G68" s="5"/>
      <c r="H68" s="61"/>
      <c r="I68" s="63"/>
    </row>
    <row r="69" spans="1:9" s="1" customFormat="1" ht="18">
      <c r="A69" s="50"/>
      <c r="B69" s="214" t="s">
        <v>280</v>
      </c>
      <c r="C69" s="45">
        <v>10500000</v>
      </c>
      <c r="D69" s="45">
        <v>10500000</v>
      </c>
      <c r="E69" s="5"/>
      <c r="F69" s="5"/>
      <c r="G69" s="5"/>
      <c r="H69" s="61"/>
      <c r="I69" s="63"/>
    </row>
    <row r="70" spans="1:9" s="1" customFormat="1" ht="18">
      <c r="A70" s="50"/>
      <c r="B70" s="214" t="s">
        <v>281</v>
      </c>
      <c r="C70" s="45"/>
      <c r="D70" s="45"/>
      <c r="E70" s="5"/>
      <c r="F70" s="5"/>
      <c r="G70" s="5"/>
      <c r="H70" s="61"/>
      <c r="I70" s="63"/>
    </row>
    <row r="71" spans="1:9" s="1" customFormat="1" ht="18">
      <c r="A71" s="50"/>
      <c r="B71" s="214" t="s">
        <v>153</v>
      </c>
      <c r="C71" s="45">
        <v>5280000</v>
      </c>
      <c r="D71" s="45">
        <v>5280000</v>
      </c>
      <c r="E71" s="5"/>
      <c r="F71" s="5"/>
      <c r="G71" s="5"/>
      <c r="H71" s="61"/>
      <c r="I71" s="63"/>
    </row>
    <row r="72" spans="1:9" s="56" customFormat="1" ht="18">
      <c r="A72" s="50"/>
      <c r="B72" s="211" t="s">
        <v>78</v>
      </c>
      <c r="C72" s="46">
        <v>58950000</v>
      </c>
      <c r="D72" s="46">
        <v>58950000</v>
      </c>
      <c r="E72" s="55"/>
      <c r="F72" s="55"/>
      <c r="G72" s="55"/>
      <c r="H72" s="252"/>
      <c r="I72" s="253"/>
    </row>
    <row r="73" spans="1:9" s="1" customFormat="1" ht="18">
      <c r="A73" s="50"/>
      <c r="B73" s="223" t="s">
        <v>282</v>
      </c>
      <c r="C73" s="45"/>
      <c r="D73" s="45"/>
      <c r="E73" s="5"/>
      <c r="F73" s="5"/>
      <c r="G73" s="5"/>
      <c r="H73" s="61"/>
      <c r="I73" s="63"/>
    </row>
    <row r="74" spans="1:9" s="1" customFormat="1" ht="31.5">
      <c r="A74" s="50"/>
      <c r="B74" s="223" t="s">
        <v>283</v>
      </c>
      <c r="C74" s="45">
        <v>3000000</v>
      </c>
      <c r="D74" s="45">
        <v>3000000</v>
      </c>
      <c r="E74" s="5"/>
      <c r="F74" s="5"/>
      <c r="G74" s="5"/>
      <c r="H74" s="61"/>
      <c r="I74" s="63"/>
    </row>
    <row r="75" spans="1:9" s="1" customFormat="1" ht="47.25">
      <c r="A75" s="50"/>
      <c r="B75" s="223" t="s">
        <v>284</v>
      </c>
      <c r="C75" s="45">
        <v>39600000</v>
      </c>
      <c r="D75" s="45">
        <v>39600000</v>
      </c>
      <c r="E75" s="5"/>
      <c r="F75" s="5"/>
      <c r="G75" s="5"/>
      <c r="H75" s="61"/>
      <c r="I75" s="63"/>
    </row>
    <row r="76" spans="1:9" s="1" customFormat="1" ht="31.5">
      <c r="A76" s="50"/>
      <c r="B76" s="223" t="s">
        <v>160</v>
      </c>
      <c r="C76" s="45">
        <v>12000000</v>
      </c>
      <c r="D76" s="45">
        <v>12000000</v>
      </c>
      <c r="E76" s="5"/>
      <c r="F76" s="5"/>
      <c r="G76" s="5"/>
      <c r="H76" s="61"/>
      <c r="I76" s="63"/>
    </row>
    <row r="77" spans="1:9" s="1" customFormat="1" ht="18">
      <c r="A77" s="50"/>
      <c r="B77" s="223" t="s">
        <v>161</v>
      </c>
      <c r="C77" s="45"/>
      <c r="D77" s="45"/>
      <c r="E77" s="5"/>
      <c r="F77" s="5"/>
      <c r="G77" s="5"/>
      <c r="H77" s="61"/>
      <c r="I77" s="63"/>
    </row>
    <row r="78" spans="1:9" s="1" customFormat="1" ht="18">
      <c r="A78" s="50"/>
      <c r="B78" s="223" t="s">
        <v>285</v>
      </c>
      <c r="C78" s="45">
        <v>4350000</v>
      </c>
      <c r="D78" s="45">
        <v>4350000</v>
      </c>
      <c r="E78" s="5"/>
      <c r="F78" s="5"/>
      <c r="G78" s="5"/>
      <c r="H78" s="61"/>
      <c r="I78" s="63"/>
    </row>
    <row r="79" spans="1:9" s="56" customFormat="1" ht="18">
      <c r="A79" s="50"/>
      <c r="B79" s="211" t="s">
        <v>162</v>
      </c>
      <c r="C79" s="46">
        <v>67244100</v>
      </c>
      <c r="D79" s="46">
        <v>67244100</v>
      </c>
      <c r="E79" s="55"/>
      <c r="F79" s="55"/>
      <c r="G79" s="55"/>
      <c r="H79" s="252"/>
      <c r="I79" s="253"/>
    </row>
    <row r="80" spans="1:9" s="1" customFormat="1" ht="31.5">
      <c r="A80" s="50"/>
      <c r="B80" s="224" t="s">
        <v>163</v>
      </c>
      <c r="C80" s="45">
        <v>8518000</v>
      </c>
      <c r="D80" s="45">
        <v>8518000</v>
      </c>
      <c r="E80" s="5"/>
      <c r="F80" s="5"/>
      <c r="G80" s="5"/>
      <c r="H80" s="61"/>
      <c r="I80" s="63"/>
    </row>
    <row r="81" spans="1:9" s="1" customFormat="1" ht="18">
      <c r="A81" s="50"/>
      <c r="B81" s="224" t="s">
        <v>164</v>
      </c>
      <c r="C81" s="45"/>
      <c r="D81" s="45"/>
      <c r="E81" s="5"/>
      <c r="F81" s="5"/>
      <c r="G81" s="5"/>
      <c r="H81" s="61"/>
      <c r="I81" s="63"/>
    </row>
    <row r="82" spans="1:9" s="1" customFormat="1" ht="18">
      <c r="A82" s="50"/>
      <c r="B82" s="224" t="s">
        <v>165</v>
      </c>
      <c r="C82" s="45"/>
      <c r="D82" s="45"/>
      <c r="E82" s="5"/>
      <c r="F82" s="5"/>
      <c r="G82" s="5"/>
      <c r="H82" s="61"/>
      <c r="I82" s="63"/>
    </row>
    <row r="83" spans="1:9" s="1" customFormat="1" ht="18">
      <c r="A83" s="50"/>
      <c r="B83" s="224" t="s">
        <v>166</v>
      </c>
      <c r="C83" s="45">
        <v>9492000</v>
      </c>
      <c r="D83" s="45">
        <v>9492000</v>
      </c>
      <c r="E83" s="5"/>
      <c r="F83" s="5"/>
      <c r="G83" s="5"/>
      <c r="H83" s="61"/>
      <c r="I83" s="63"/>
    </row>
    <row r="84" spans="1:9" s="1" customFormat="1" ht="18">
      <c r="A84" s="50"/>
      <c r="B84" s="224" t="s">
        <v>167</v>
      </c>
      <c r="C84" s="45"/>
      <c r="D84" s="45"/>
      <c r="E84" s="5"/>
      <c r="F84" s="5"/>
      <c r="G84" s="5"/>
      <c r="H84" s="61"/>
      <c r="I84" s="63"/>
    </row>
    <row r="85" spans="1:9" s="1" customFormat="1" ht="18">
      <c r="A85" s="50"/>
      <c r="B85" s="224" t="s">
        <v>168</v>
      </c>
      <c r="C85" s="45">
        <v>49234100</v>
      </c>
      <c r="D85" s="45">
        <v>49234100</v>
      </c>
      <c r="E85" s="5"/>
      <c r="F85" s="5"/>
      <c r="G85" s="5"/>
      <c r="H85" s="61"/>
      <c r="I85" s="63"/>
    </row>
    <row r="86" spans="1:9" s="56" customFormat="1" ht="18">
      <c r="A86" s="50"/>
      <c r="B86" s="211" t="s">
        <v>59</v>
      </c>
      <c r="C86" s="46">
        <v>124435000</v>
      </c>
      <c r="D86" s="46">
        <v>124435000</v>
      </c>
      <c r="E86" s="55"/>
      <c r="F86" s="55"/>
      <c r="G86" s="55"/>
      <c r="H86" s="252"/>
      <c r="I86" s="253"/>
    </row>
    <row r="87" spans="1:9" s="1" customFormat="1" ht="18">
      <c r="A87" s="50"/>
      <c r="B87" s="224" t="s">
        <v>169</v>
      </c>
      <c r="C87" s="45">
        <v>34935000</v>
      </c>
      <c r="D87" s="45">
        <v>34935000</v>
      </c>
      <c r="E87" s="5"/>
      <c r="F87" s="5"/>
      <c r="G87" s="5"/>
      <c r="H87" s="61"/>
      <c r="I87" s="63"/>
    </row>
    <row r="88" spans="1:9" s="1" customFormat="1" ht="18">
      <c r="A88" s="50"/>
      <c r="B88" s="223" t="s">
        <v>286</v>
      </c>
      <c r="C88" s="45">
        <v>89500000</v>
      </c>
      <c r="D88" s="45">
        <v>89500000</v>
      </c>
      <c r="E88" s="5"/>
      <c r="F88" s="5"/>
      <c r="G88" s="5"/>
      <c r="H88" s="61"/>
      <c r="I88" s="63"/>
    </row>
    <row r="89" spans="1:9" s="56" customFormat="1" ht="17.25" customHeight="1">
      <c r="A89" s="50"/>
      <c r="B89" s="226" t="s">
        <v>54</v>
      </c>
      <c r="C89" s="46">
        <v>29000000</v>
      </c>
      <c r="D89" s="46">
        <v>29000000</v>
      </c>
      <c r="E89" s="55"/>
      <c r="F89" s="55"/>
      <c r="G89" s="55"/>
      <c r="H89" s="252"/>
      <c r="I89" s="253"/>
    </row>
    <row r="90" spans="1:9" s="56" customFormat="1" ht="18">
      <c r="A90" s="50"/>
      <c r="B90" s="229" t="s">
        <v>54</v>
      </c>
      <c r="C90" s="46">
        <v>29000000</v>
      </c>
      <c r="D90" s="46">
        <v>29000000</v>
      </c>
      <c r="E90" s="55"/>
      <c r="F90" s="55"/>
      <c r="G90" s="55"/>
      <c r="H90" s="252"/>
      <c r="I90" s="253"/>
    </row>
    <row r="91" spans="1:9" s="1" customFormat="1" ht="18" hidden="1">
      <c r="A91" s="50"/>
      <c r="B91" s="223" t="s">
        <v>287</v>
      </c>
      <c r="C91" s="45"/>
      <c r="D91" s="45"/>
      <c r="E91" s="5"/>
      <c r="F91" s="5"/>
      <c r="G91" s="5"/>
      <c r="H91" s="61"/>
      <c r="I91" s="63"/>
    </row>
    <row r="92" spans="1:9" s="1" customFormat="1" ht="18" hidden="1">
      <c r="A92" s="50"/>
      <c r="B92" s="223" t="s">
        <v>216</v>
      </c>
      <c r="C92" s="45"/>
      <c r="D92" s="45"/>
      <c r="E92" s="5"/>
      <c r="F92" s="5"/>
      <c r="G92" s="5"/>
      <c r="H92" s="61"/>
      <c r="I92" s="63"/>
    </row>
    <row r="93" spans="1:9" s="1" customFormat="1" ht="31.5" hidden="1">
      <c r="A93" s="50"/>
      <c r="B93" s="223" t="s">
        <v>299</v>
      </c>
      <c r="C93" s="45"/>
      <c r="D93" s="45"/>
      <c r="E93" s="5"/>
      <c r="F93" s="5"/>
      <c r="G93" s="5"/>
      <c r="H93" s="61"/>
      <c r="I93" s="63"/>
    </row>
    <row r="94" spans="1:9" s="1" customFormat="1" ht="18" hidden="1">
      <c r="A94" s="50"/>
      <c r="B94" s="232" t="s">
        <v>218</v>
      </c>
      <c r="C94" s="45"/>
      <c r="D94" s="45"/>
      <c r="E94" s="5"/>
      <c r="F94" s="5"/>
      <c r="G94" s="5"/>
      <c r="H94" s="61"/>
      <c r="I94" s="63"/>
    </row>
    <row r="95" spans="1:9" s="1" customFormat="1" ht="18">
      <c r="A95" s="50"/>
      <c r="B95" s="214" t="s">
        <v>220</v>
      </c>
      <c r="C95" s="45">
        <v>29000000</v>
      </c>
      <c r="D95" s="45">
        <v>29000000</v>
      </c>
      <c r="E95" s="5"/>
      <c r="F95" s="5"/>
      <c r="G95" s="5"/>
      <c r="H95" s="61"/>
      <c r="I95" s="63"/>
    </row>
    <row r="96" spans="1:9" s="56" customFormat="1" ht="18">
      <c r="A96" s="281" t="s">
        <v>227</v>
      </c>
      <c r="B96" s="281"/>
      <c r="C96" s="46">
        <v>982829911</v>
      </c>
      <c r="D96" s="46">
        <v>982829911</v>
      </c>
      <c r="E96" s="55"/>
      <c r="F96" s="55"/>
      <c r="G96" s="55"/>
      <c r="H96" s="252"/>
      <c r="I96" s="253"/>
    </row>
    <row r="97" spans="1:9" s="56" customFormat="1" ht="18">
      <c r="A97" s="211"/>
      <c r="B97" s="234" t="s">
        <v>73</v>
      </c>
      <c r="C97" s="46"/>
      <c r="D97" s="46"/>
      <c r="E97" s="55"/>
      <c r="F97" s="55"/>
      <c r="G97" s="55"/>
      <c r="H97" s="252"/>
      <c r="I97" s="253"/>
    </row>
    <row r="98" spans="1:9" s="1" customFormat="1" ht="18">
      <c r="A98" s="214"/>
      <c r="B98" s="236" t="s">
        <v>233</v>
      </c>
      <c r="C98" s="45"/>
      <c r="D98" s="45"/>
      <c r="E98" s="5"/>
      <c r="F98" s="5"/>
      <c r="G98" s="5"/>
      <c r="H98" s="61"/>
      <c r="I98" s="63"/>
    </row>
    <row r="99" spans="1:9" s="56" customFormat="1" ht="18">
      <c r="A99" s="211"/>
      <c r="B99" s="234" t="s">
        <v>72</v>
      </c>
      <c r="C99" s="46">
        <v>31894638</v>
      </c>
      <c r="D99" s="46">
        <v>31894638</v>
      </c>
      <c r="E99" s="55"/>
      <c r="F99" s="55"/>
      <c r="G99" s="55"/>
      <c r="H99" s="252"/>
      <c r="I99" s="253"/>
    </row>
    <row r="100" spans="1:9" s="1" customFormat="1" ht="18">
      <c r="A100" s="214"/>
      <c r="B100" s="236" t="s">
        <v>229</v>
      </c>
      <c r="C100" s="45">
        <v>23750790</v>
      </c>
      <c r="D100" s="45">
        <v>23750790</v>
      </c>
      <c r="E100" s="5"/>
      <c r="F100" s="5"/>
      <c r="G100" s="5"/>
      <c r="H100" s="61"/>
      <c r="I100" s="63"/>
    </row>
    <row r="101" spans="1:9" s="1" customFormat="1" ht="18">
      <c r="A101" s="214"/>
      <c r="B101" s="236" t="s">
        <v>230</v>
      </c>
      <c r="C101" s="45">
        <v>4072284</v>
      </c>
      <c r="D101" s="45">
        <v>4072284</v>
      </c>
      <c r="E101" s="5"/>
      <c r="F101" s="5"/>
      <c r="G101" s="5"/>
      <c r="H101" s="61"/>
      <c r="I101" s="63"/>
    </row>
    <row r="102" spans="1:9" s="1" customFormat="1" ht="18">
      <c r="A102" s="214"/>
      <c r="B102" s="236" t="s">
        <v>231</v>
      </c>
      <c r="C102" s="45">
        <v>2714376</v>
      </c>
      <c r="D102" s="45">
        <v>2714376</v>
      </c>
      <c r="E102" s="5"/>
      <c r="F102" s="5"/>
      <c r="G102" s="5"/>
      <c r="H102" s="61"/>
      <c r="I102" s="63"/>
    </row>
    <row r="103" spans="1:9" s="1" customFormat="1" ht="18">
      <c r="A103" s="214"/>
      <c r="B103" s="236" t="s">
        <v>232</v>
      </c>
      <c r="C103" s="45">
        <v>1357188</v>
      </c>
      <c r="D103" s="45">
        <v>1357188</v>
      </c>
      <c r="E103" s="5"/>
      <c r="F103" s="5"/>
      <c r="G103" s="5"/>
      <c r="H103" s="61"/>
      <c r="I103" s="63"/>
    </row>
    <row r="104" spans="1:9" s="56" customFormat="1" ht="18">
      <c r="A104" s="211"/>
      <c r="B104" s="234" t="s">
        <v>239</v>
      </c>
      <c r="C104" s="46">
        <v>729460021</v>
      </c>
      <c r="D104" s="46">
        <v>729460021</v>
      </c>
      <c r="E104" s="55"/>
      <c r="F104" s="55"/>
      <c r="G104" s="55"/>
      <c r="H104" s="252"/>
      <c r="I104" s="253"/>
    </row>
    <row r="105" spans="1:9" s="1" customFormat="1" ht="18">
      <c r="A105" s="214"/>
      <c r="B105" s="236" t="s">
        <v>289</v>
      </c>
      <c r="C105" s="45">
        <v>729460021</v>
      </c>
      <c r="D105" s="45">
        <v>729460021</v>
      </c>
      <c r="E105" s="5"/>
      <c r="F105" s="5"/>
      <c r="G105" s="5"/>
      <c r="H105" s="61"/>
      <c r="I105" s="63"/>
    </row>
    <row r="106" spans="1:9" s="1" customFormat="1" ht="18">
      <c r="A106" s="211"/>
      <c r="B106" s="243" t="s">
        <v>75</v>
      </c>
      <c r="C106" s="45">
        <v>42662000</v>
      </c>
      <c r="D106" s="45">
        <v>42662000</v>
      </c>
      <c r="E106" s="5"/>
      <c r="F106" s="5"/>
      <c r="G106" s="5"/>
      <c r="H106" s="61"/>
      <c r="I106" s="63"/>
    </row>
    <row r="107" spans="1:9" s="1" customFormat="1" ht="18">
      <c r="A107" s="214"/>
      <c r="B107" s="236" t="s">
        <v>290</v>
      </c>
      <c r="C107" s="45"/>
      <c r="D107" s="45"/>
      <c r="E107" s="5"/>
      <c r="F107" s="5"/>
      <c r="G107" s="5"/>
      <c r="H107" s="61"/>
      <c r="I107" s="63"/>
    </row>
    <row r="108" spans="1:9" s="1" customFormat="1" ht="18">
      <c r="A108" s="214"/>
      <c r="B108" s="236" t="s">
        <v>291</v>
      </c>
      <c r="C108" s="45">
        <v>42662000</v>
      </c>
      <c r="D108" s="45">
        <v>42662000</v>
      </c>
      <c r="E108" s="5"/>
      <c r="F108" s="5"/>
      <c r="G108" s="5"/>
      <c r="H108" s="61"/>
      <c r="I108" s="63"/>
    </row>
    <row r="109" spans="1:9" s="56" customFormat="1" ht="18">
      <c r="A109" s="211"/>
      <c r="B109" s="243" t="s">
        <v>235</v>
      </c>
      <c r="C109" s="46">
        <v>168813252</v>
      </c>
      <c r="D109" s="46">
        <v>168813252</v>
      </c>
      <c r="E109" s="55"/>
      <c r="F109" s="55"/>
      <c r="G109" s="55"/>
      <c r="H109" s="252"/>
      <c r="I109" s="253"/>
    </row>
    <row r="110" spans="1:9" s="1" customFormat="1" ht="18">
      <c r="A110" s="214"/>
      <c r="B110" s="236" t="s">
        <v>236</v>
      </c>
      <c r="C110" s="45">
        <v>158813252</v>
      </c>
      <c r="D110" s="45">
        <v>158813252</v>
      </c>
      <c r="E110" s="5"/>
      <c r="F110" s="5"/>
      <c r="G110" s="5"/>
      <c r="H110" s="61"/>
      <c r="I110" s="63"/>
    </row>
    <row r="111" spans="1:9" s="1" customFormat="1" ht="18">
      <c r="A111" s="214"/>
      <c r="B111" s="236" t="s">
        <v>79</v>
      </c>
      <c r="C111" s="45">
        <v>10000000</v>
      </c>
      <c r="D111" s="45">
        <v>10000000</v>
      </c>
      <c r="E111" s="5"/>
      <c r="F111" s="5"/>
      <c r="G111" s="5"/>
      <c r="H111" s="61"/>
      <c r="I111" s="63"/>
    </row>
    <row r="112" spans="1:9" s="56" customFormat="1" ht="18">
      <c r="A112" s="211"/>
      <c r="B112" s="243" t="s">
        <v>292</v>
      </c>
      <c r="C112" s="46">
        <v>0</v>
      </c>
      <c r="D112" s="46">
        <v>0</v>
      </c>
      <c r="E112" s="55"/>
      <c r="F112" s="55"/>
      <c r="G112" s="55"/>
      <c r="H112" s="252"/>
      <c r="I112" s="253"/>
    </row>
    <row r="113" spans="1:9" s="1" customFormat="1" ht="18">
      <c r="A113" s="214"/>
      <c r="B113" s="236" t="s">
        <v>293</v>
      </c>
      <c r="C113" s="45"/>
      <c r="D113" s="45"/>
      <c r="E113" s="5"/>
      <c r="F113" s="5"/>
      <c r="G113" s="5"/>
      <c r="H113" s="61"/>
      <c r="I113" s="63"/>
    </row>
    <row r="114" spans="1:9" s="1" customFormat="1" ht="18">
      <c r="A114" s="237"/>
      <c r="B114" s="234" t="s">
        <v>237</v>
      </c>
      <c r="C114" s="45">
        <v>0</v>
      </c>
      <c r="D114" s="45">
        <v>0</v>
      </c>
      <c r="E114" s="5"/>
      <c r="F114" s="5"/>
      <c r="G114" s="5"/>
      <c r="H114" s="61"/>
      <c r="I114" s="63"/>
    </row>
    <row r="115" spans="1:9" s="1" customFormat="1" ht="18">
      <c r="A115" s="216"/>
      <c r="B115" s="236" t="s">
        <v>294</v>
      </c>
      <c r="C115" s="45"/>
      <c r="D115" s="45"/>
      <c r="E115" s="5"/>
      <c r="F115" s="5"/>
      <c r="G115" s="5"/>
      <c r="H115" s="61"/>
      <c r="I115" s="63"/>
    </row>
    <row r="116" spans="1:9" s="56" customFormat="1" ht="18">
      <c r="A116" s="211"/>
      <c r="B116" s="248" t="s">
        <v>249</v>
      </c>
      <c r="C116" s="46">
        <v>10000000</v>
      </c>
      <c r="D116" s="46">
        <v>10000000</v>
      </c>
      <c r="E116" s="55"/>
      <c r="F116" s="55"/>
      <c r="G116" s="55"/>
      <c r="H116" s="252"/>
      <c r="I116" s="253"/>
    </row>
    <row r="117" spans="1:9" s="1" customFormat="1" ht="18">
      <c r="A117" s="214"/>
      <c r="B117" s="249" t="s">
        <v>251</v>
      </c>
      <c r="C117" s="45"/>
      <c r="D117" s="45"/>
      <c r="E117" s="5"/>
      <c r="F117" s="5"/>
      <c r="G117" s="5"/>
      <c r="H117" s="61"/>
      <c r="I117" s="63"/>
    </row>
    <row r="118" spans="1:9" s="1" customFormat="1" ht="18">
      <c r="A118" s="214"/>
      <c r="B118" s="249" t="s">
        <v>295</v>
      </c>
      <c r="C118" s="45">
        <v>10000000</v>
      </c>
      <c r="D118" s="45">
        <v>10000000</v>
      </c>
      <c r="E118" s="5"/>
      <c r="F118" s="5"/>
      <c r="G118" s="5"/>
      <c r="H118" s="61"/>
      <c r="I118" s="63"/>
    </row>
    <row r="119" spans="1:9" s="1" customFormat="1" ht="18">
      <c r="A119" s="211"/>
      <c r="B119" s="234" t="s">
        <v>296</v>
      </c>
      <c r="C119" s="45"/>
      <c r="D119" s="45">
        <v>0</v>
      </c>
      <c r="E119" s="5"/>
      <c r="F119" s="5"/>
      <c r="G119" s="5"/>
      <c r="H119" s="61"/>
      <c r="I119" s="63"/>
    </row>
    <row r="120" spans="1:9" s="1" customFormat="1" ht="18">
      <c r="A120" s="214"/>
      <c r="B120" s="236" t="s">
        <v>297</v>
      </c>
      <c r="C120" s="45">
        <v>0</v>
      </c>
      <c r="D120" s="45"/>
      <c r="E120" s="5"/>
      <c r="F120" s="5"/>
      <c r="G120" s="5"/>
      <c r="H120" s="61"/>
      <c r="I120" s="63"/>
    </row>
    <row r="121" spans="1:9" s="1" customFormat="1" ht="18">
      <c r="A121" s="214"/>
      <c r="B121" s="236" t="s">
        <v>298</v>
      </c>
      <c r="C121" s="45"/>
      <c r="D121" s="45"/>
      <c r="E121" s="5"/>
      <c r="F121" s="5"/>
      <c r="G121" s="5"/>
      <c r="H121" s="61"/>
      <c r="I121" s="63"/>
    </row>
    <row r="122" spans="1:9" s="1" customFormat="1" ht="18">
      <c r="A122" s="50"/>
      <c r="B122" s="214"/>
      <c r="C122" s="45"/>
      <c r="D122" s="45"/>
      <c r="E122" s="5"/>
      <c r="F122" s="5"/>
      <c r="G122" s="5"/>
      <c r="H122" s="61"/>
      <c r="I122" s="63"/>
    </row>
    <row r="123" spans="1:9" s="260" customFormat="1" ht="21.75" customHeight="1">
      <c r="A123" s="175" t="s">
        <v>60</v>
      </c>
      <c r="B123" s="177" t="s">
        <v>302</v>
      </c>
      <c r="C123" s="176">
        <f>SUM(C124:C145)</f>
        <v>1258599570</v>
      </c>
      <c r="D123" s="176">
        <f>SUM(D124:D145)</f>
        <v>1258599570</v>
      </c>
      <c r="E123" s="259"/>
      <c r="F123" s="259"/>
      <c r="G123" s="259"/>
    </row>
    <row r="124" spans="1:9" s="185" customFormat="1" ht="21.75" customHeight="1">
      <c r="A124" s="24">
        <v>1</v>
      </c>
      <c r="B124" s="25" t="s">
        <v>95</v>
      </c>
      <c r="C124" s="31">
        <v>22036000</v>
      </c>
      <c r="D124" s="31">
        <v>22036000</v>
      </c>
      <c r="E124" s="17"/>
      <c r="F124" s="17"/>
      <c r="G124" s="17"/>
    </row>
    <row r="125" spans="1:9" s="185" customFormat="1" ht="21.75" customHeight="1">
      <c r="A125" s="24">
        <v>2</v>
      </c>
      <c r="B125" s="25" t="s">
        <v>61</v>
      </c>
      <c r="C125" s="31">
        <f>37986000+195000</f>
        <v>38181000</v>
      </c>
      <c r="D125" s="31">
        <v>38181000</v>
      </c>
      <c r="E125" s="17"/>
      <c r="F125" s="17"/>
      <c r="G125" s="17"/>
    </row>
    <row r="126" spans="1:9" s="185" customFormat="1" ht="21.75" customHeight="1">
      <c r="A126" s="24">
        <v>3</v>
      </c>
      <c r="B126" s="25" t="s">
        <v>62</v>
      </c>
      <c r="C126" s="31">
        <v>133898250</v>
      </c>
      <c r="D126" s="31">
        <v>133898250</v>
      </c>
      <c r="E126" s="17"/>
      <c r="F126" s="17"/>
      <c r="G126" s="17"/>
    </row>
    <row r="127" spans="1:9" s="185" customFormat="1" ht="21.75" customHeight="1">
      <c r="A127" s="24">
        <v>4</v>
      </c>
      <c r="B127" s="25" t="s">
        <v>262</v>
      </c>
      <c r="C127" s="31">
        <v>21150000</v>
      </c>
      <c r="D127" s="31">
        <v>21150000</v>
      </c>
      <c r="E127" s="17"/>
      <c r="F127" s="17"/>
      <c r="G127" s="17"/>
    </row>
    <row r="128" spans="1:9" s="185" customFormat="1" ht="21.75" customHeight="1">
      <c r="A128" s="24">
        <v>5</v>
      </c>
      <c r="B128" s="25" t="s">
        <v>96</v>
      </c>
      <c r="C128" s="31">
        <v>105840000</v>
      </c>
      <c r="D128" s="31">
        <v>105840000</v>
      </c>
      <c r="E128" s="17"/>
      <c r="F128" s="17"/>
      <c r="G128" s="17"/>
    </row>
    <row r="129" spans="1:7" s="185" customFormat="1" ht="21.75" customHeight="1">
      <c r="A129" s="24">
        <v>6</v>
      </c>
      <c r="B129" s="25" t="s">
        <v>63</v>
      </c>
      <c r="C129" s="31">
        <v>188880000</v>
      </c>
      <c r="D129" s="31">
        <v>188880000</v>
      </c>
      <c r="E129" s="17"/>
      <c r="F129" s="17"/>
      <c r="G129" s="17"/>
    </row>
    <row r="130" spans="1:7" s="185" customFormat="1" ht="21.75" customHeight="1">
      <c r="A130" s="24">
        <v>7</v>
      </c>
      <c r="B130" s="25" t="s">
        <v>64</v>
      </c>
      <c r="C130" s="31">
        <v>506254320</v>
      </c>
      <c r="D130" s="31">
        <v>506254320</v>
      </c>
      <c r="E130" s="17"/>
      <c r="F130" s="17"/>
      <c r="G130" s="17"/>
    </row>
    <row r="131" spans="1:7" s="185" customFormat="1" ht="21.75" customHeight="1">
      <c r="A131" s="24">
        <v>8</v>
      </c>
      <c r="B131" s="25" t="s">
        <v>263</v>
      </c>
      <c r="C131" s="31">
        <v>108600000</v>
      </c>
      <c r="D131" s="31">
        <v>108600000</v>
      </c>
      <c r="E131" s="17"/>
      <c r="F131" s="17"/>
      <c r="G131" s="17"/>
    </row>
    <row r="132" spans="1:7" ht="15.75">
      <c r="A132" s="24">
        <v>9</v>
      </c>
      <c r="B132" s="25" t="s">
        <v>264</v>
      </c>
      <c r="C132" s="31">
        <v>123000000</v>
      </c>
      <c r="D132" s="60">
        <v>123000000</v>
      </c>
      <c r="E132" s="17"/>
      <c r="F132" s="17"/>
      <c r="G132" s="17"/>
    </row>
    <row r="133" spans="1:7" ht="15.75" hidden="1">
      <c r="A133" s="24">
        <v>10</v>
      </c>
      <c r="B133" s="25" t="s">
        <v>62</v>
      </c>
      <c r="C133" s="31"/>
      <c r="D133" s="60"/>
      <c r="E133" s="17"/>
      <c r="F133" s="17"/>
      <c r="G133" s="17"/>
    </row>
    <row r="134" spans="1:7" ht="15.75" hidden="1">
      <c r="A134" s="24">
        <v>11</v>
      </c>
      <c r="B134" s="25"/>
      <c r="C134" s="31"/>
      <c r="D134" s="60"/>
      <c r="E134" s="17"/>
      <c r="F134" s="17"/>
      <c r="G134" s="17"/>
    </row>
    <row r="135" spans="1:7" ht="15.75" hidden="1">
      <c r="A135" s="24">
        <v>12</v>
      </c>
      <c r="B135" s="23" t="s">
        <v>90</v>
      </c>
      <c r="C135" s="31">
        <f>SUM(C136:C139)</f>
        <v>0</v>
      </c>
      <c r="D135" s="31">
        <v>0</v>
      </c>
      <c r="E135" s="17"/>
      <c r="F135" s="17"/>
      <c r="G135" s="17"/>
    </row>
    <row r="136" spans="1:7" ht="15.75" hidden="1">
      <c r="A136" s="24">
        <v>13</v>
      </c>
      <c r="B136" s="25" t="s">
        <v>94</v>
      </c>
      <c r="C136" s="31">
        <v>0</v>
      </c>
      <c r="D136" s="60">
        <v>0</v>
      </c>
      <c r="E136" s="17"/>
      <c r="F136" s="17"/>
      <c r="G136" s="17"/>
    </row>
    <row r="137" spans="1:7" ht="15.75" hidden="1">
      <c r="A137" s="24">
        <v>14</v>
      </c>
      <c r="B137" s="25" t="s">
        <v>91</v>
      </c>
      <c r="C137" s="31">
        <v>0</v>
      </c>
      <c r="D137" s="60">
        <v>0</v>
      </c>
      <c r="E137" s="17"/>
      <c r="F137" s="17"/>
      <c r="G137" s="17"/>
    </row>
    <row r="138" spans="1:7" ht="15.75" hidden="1">
      <c r="A138" s="24">
        <v>15</v>
      </c>
      <c r="B138" s="25" t="s">
        <v>92</v>
      </c>
      <c r="C138" s="31">
        <v>0</v>
      </c>
      <c r="D138" s="60">
        <v>0</v>
      </c>
      <c r="E138" s="17"/>
      <c r="F138" s="17"/>
      <c r="G138" s="17"/>
    </row>
    <row r="139" spans="1:7" ht="15.75" hidden="1">
      <c r="A139" s="24">
        <v>16</v>
      </c>
      <c r="B139" s="25" t="s">
        <v>93</v>
      </c>
      <c r="C139" s="31">
        <v>0</v>
      </c>
      <c r="D139" s="60">
        <v>0</v>
      </c>
      <c r="E139" s="17"/>
      <c r="F139" s="17"/>
      <c r="G139" s="17"/>
    </row>
    <row r="140" spans="1:7" ht="15.75" hidden="1">
      <c r="A140" s="24">
        <v>17</v>
      </c>
      <c r="B140" s="23" t="s">
        <v>84</v>
      </c>
      <c r="C140" s="31">
        <f>SUM(C141:C144)</f>
        <v>0</v>
      </c>
      <c r="D140" s="31">
        <v>0</v>
      </c>
      <c r="E140" s="17"/>
      <c r="F140" s="17"/>
      <c r="G140" s="17"/>
    </row>
    <row r="141" spans="1:7" ht="15.75" hidden="1">
      <c r="A141" s="24">
        <v>18</v>
      </c>
      <c r="B141" s="25" t="s">
        <v>66</v>
      </c>
      <c r="C141" s="31">
        <v>0</v>
      </c>
      <c r="D141" s="60">
        <v>0</v>
      </c>
      <c r="E141" s="17"/>
      <c r="F141" s="17"/>
      <c r="G141" s="17"/>
    </row>
    <row r="142" spans="1:7" ht="15.75" hidden="1">
      <c r="A142" s="24">
        <v>19</v>
      </c>
      <c r="B142" s="25" t="s">
        <v>67</v>
      </c>
      <c r="C142" s="31">
        <v>0</v>
      </c>
      <c r="D142" s="60">
        <v>0</v>
      </c>
      <c r="E142" s="17"/>
      <c r="F142" s="17"/>
      <c r="G142" s="17"/>
    </row>
    <row r="143" spans="1:7" ht="15.75" hidden="1">
      <c r="A143" s="24">
        <v>20</v>
      </c>
      <c r="B143" s="25" t="s">
        <v>68</v>
      </c>
      <c r="C143" s="31">
        <v>0</v>
      </c>
      <c r="D143" s="60">
        <v>0</v>
      </c>
      <c r="E143" s="17"/>
      <c r="F143" s="17"/>
      <c r="G143" s="17"/>
    </row>
    <row r="144" spans="1:7" ht="15.75" hidden="1">
      <c r="A144" s="24">
        <v>21</v>
      </c>
      <c r="B144" s="25" t="s">
        <v>65</v>
      </c>
      <c r="C144" s="31">
        <v>0</v>
      </c>
      <c r="D144" s="60">
        <v>0</v>
      </c>
      <c r="E144" s="17"/>
      <c r="F144" s="17"/>
      <c r="G144" s="17"/>
    </row>
    <row r="145" spans="1:7" ht="18.75" customHeight="1">
      <c r="A145" s="24">
        <v>10</v>
      </c>
      <c r="B145" s="25" t="s">
        <v>301</v>
      </c>
      <c r="C145" s="31">
        <v>10760000</v>
      </c>
      <c r="D145" s="31">
        <v>10760000</v>
      </c>
      <c r="E145" s="17"/>
      <c r="F145" s="17"/>
      <c r="G145" s="17"/>
    </row>
    <row r="146" spans="1:7" ht="15.75">
      <c r="B146" s="20"/>
      <c r="C146" s="20"/>
      <c r="D146" s="306" t="s">
        <v>303</v>
      </c>
      <c r="E146" s="306"/>
      <c r="F146" s="306"/>
      <c r="G146" s="306"/>
    </row>
    <row r="147" spans="1:7" ht="15.75">
      <c r="B147" s="29" t="s">
        <v>82</v>
      </c>
      <c r="C147" s="20"/>
      <c r="D147" s="20"/>
      <c r="E147" s="270" t="s">
        <v>45</v>
      </c>
      <c r="F147" s="270"/>
      <c r="G147" s="270"/>
    </row>
    <row r="148" spans="1:7" ht="15.75">
      <c r="B148" s="20"/>
      <c r="C148" s="20"/>
      <c r="D148" s="20"/>
      <c r="E148" s="20"/>
      <c r="F148" s="20"/>
      <c r="G148" s="20"/>
    </row>
    <row r="149" spans="1:7" ht="18.75">
      <c r="B149" s="38"/>
      <c r="C149" s="38"/>
      <c r="D149" s="38"/>
      <c r="E149" s="38"/>
      <c r="F149" s="38"/>
      <c r="G149" s="38"/>
    </row>
  </sheetData>
  <mergeCells count="16">
    <mergeCell ref="A96:B96"/>
    <mergeCell ref="E147:G147"/>
    <mergeCell ref="A1:G1"/>
    <mergeCell ref="A2:B2"/>
    <mergeCell ref="A3:B3"/>
    <mergeCell ref="A4:G4"/>
    <mergeCell ref="A6:G6"/>
    <mergeCell ref="A7:G7"/>
    <mergeCell ref="C8:G8"/>
    <mergeCell ref="A5:G5"/>
    <mergeCell ref="D9:D10"/>
    <mergeCell ref="C9:C10"/>
    <mergeCell ref="B9:B10"/>
    <mergeCell ref="A9:A10"/>
    <mergeCell ref="E9:G9"/>
    <mergeCell ref="D146:G146"/>
  </mergeCells>
  <pageMargins left="0" right="0" top="0.6692913385826772" bottom="0.15748031496062992" header="0.47244094488188981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opLeftCell="A120" workbookViewId="0">
      <selection activeCell="D138" sqref="D138:D139"/>
    </sheetView>
  </sheetViews>
  <sheetFormatPr defaultRowHeight="18.75"/>
  <cols>
    <col min="1" max="1" width="7.42578125" style="73" customWidth="1"/>
    <col min="2" max="2" width="10.140625" style="70" customWidth="1"/>
    <col min="3" max="3" width="85.42578125" style="71" customWidth="1"/>
    <col min="4" max="4" width="20.5703125" style="72" customWidth="1"/>
    <col min="5" max="5" width="19.5703125" style="73" customWidth="1"/>
    <col min="6" max="6" width="13.28515625" style="73" customWidth="1"/>
    <col min="7" max="7" width="20.7109375" style="73" customWidth="1"/>
    <col min="8" max="256" width="9.140625" style="73"/>
    <col min="257" max="257" width="7.42578125" style="73" customWidth="1"/>
    <col min="258" max="258" width="10.140625" style="73" customWidth="1"/>
    <col min="259" max="259" width="85.42578125" style="73" customWidth="1"/>
    <col min="260" max="260" width="20.5703125" style="73" customWidth="1"/>
    <col min="261" max="261" width="19.5703125" style="73" customWidth="1"/>
    <col min="262" max="262" width="13.28515625" style="73" customWidth="1"/>
    <col min="263" max="263" width="20.7109375" style="73" customWidth="1"/>
    <col min="264" max="512" width="9.140625" style="73"/>
    <col min="513" max="513" width="7.42578125" style="73" customWidth="1"/>
    <col min="514" max="514" width="10.140625" style="73" customWidth="1"/>
    <col min="515" max="515" width="85.42578125" style="73" customWidth="1"/>
    <col min="516" max="516" width="20.5703125" style="73" customWidth="1"/>
    <col min="517" max="517" width="19.5703125" style="73" customWidth="1"/>
    <col min="518" max="518" width="13.28515625" style="73" customWidth="1"/>
    <col min="519" max="519" width="20.7109375" style="73" customWidth="1"/>
    <col min="520" max="768" width="9.140625" style="73"/>
    <col min="769" max="769" width="7.42578125" style="73" customWidth="1"/>
    <col min="770" max="770" width="10.140625" style="73" customWidth="1"/>
    <col min="771" max="771" width="85.42578125" style="73" customWidth="1"/>
    <col min="772" max="772" width="20.5703125" style="73" customWidth="1"/>
    <col min="773" max="773" width="19.5703125" style="73" customWidth="1"/>
    <col min="774" max="774" width="13.28515625" style="73" customWidth="1"/>
    <col min="775" max="775" width="20.7109375" style="73" customWidth="1"/>
    <col min="776" max="1024" width="9.140625" style="73"/>
    <col min="1025" max="1025" width="7.42578125" style="73" customWidth="1"/>
    <col min="1026" max="1026" width="10.140625" style="73" customWidth="1"/>
    <col min="1027" max="1027" width="85.42578125" style="73" customWidth="1"/>
    <col min="1028" max="1028" width="20.5703125" style="73" customWidth="1"/>
    <col min="1029" max="1029" width="19.5703125" style="73" customWidth="1"/>
    <col min="1030" max="1030" width="13.28515625" style="73" customWidth="1"/>
    <col min="1031" max="1031" width="20.7109375" style="73" customWidth="1"/>
    <col min="1032" max="1280" width="9.140625" style="73"/>
    <col min="1281" max="1281" width="7.42578125" style="73" customWidth="1"/>
    <col min="1282" max="1282" width="10.140625" style="73" customWidth="1"/>
    <col min="1283" max="1283" width="85.42578125" style="73" customWidth="1"/>
    <col min="1284" max="1284" width="20.5703125" style="73" customWidth="1"/>
    <col min="1285" max="1285" width="19.5703125" style="73" customWidth="1"/>
    <col min="1286" max="1286" width="13.28515625" style="73" customWidth="1"/>
    <col min="1287" max="1287" width="20.7109375" style="73" customWidth="1"/>
    <col min="1288" max="1536" width="9.140625" style="73"/>
    <col min="1537" max="1537" width="7.42578125" style="73" customWidth="1"/>
    <col min="1538" max="1538" width="10.140625" style="73" customWidth="1"/>
    <col min="1539" max="1539" width="85.42578125" style="73" customWidth="1"/>
    <col min="1540" max="1540" width="20.5703125" style="73" customWidth="1"/>
    <col min="1541" max="1541" width="19.5703125" style="73" customWidth="1"/>
    <col min="1542" max="1542" width="13.28515625" style="73" customWidth="1"/>
    <col min="1543" max="1543" width="20.7109375" style="73" customWidth="1"/>
    <col min="1544" max="1792" width="9.140625" style="73"/>
    <col min="1793" max="1793" width="7.42578125" style="73" customWidth="1"/>
    <col min="1794" max="1794" width="10.140625" style="73" customWidth="1"/>
    <col min="1795" max="1795" width="85.42578125" style="73" customWidth="1"/>
    <col min="1796" max="1796" width="20.5703125" style="73" customWidth="1"/>
    <col min="1797" max="1797" width="19.5703125" style="73" customWidth="1"/>
    <col min="1798" max="1798" width="13.28515625" style="73" customWidth="1"/>
    <col min="1799" max="1799" width="20.7109375" style="73" customWidth="1"/>
    <col min="1800" max="2048" width="9.140625" style="73"/>
    <col min="2049" max="2049" width="7.42578125" style="73" customWidth="1"/>
    <col min="2050" max="2050" width="10.140625" style="73" customWidth="1"/>
    <col min="2051" max="2051" width="85.42578125" style="73" customWidth="1"/>
    <col min="2052" max="2052" width="20.5703125" style="73" customWidth="1"/>
    <col min="2053" max="2053" width="19.5703125" style="73" customWidth="1"/>
    <col min="2054" max="2054" width="13.28515625" style="73" customWidth="1"/>
    <col min="2055" max="2055" width="20.7109375" style="73" customWidth="1"/>
    <col min="2056" max="2304" width="9.140625" style="73"/>
    <col min="2305" max="2305" width="7.42578125" style="73" customWidth="1"/>
    <col min="2306" max="2306" width="10.140625" style="73" customWidth="1"/>
    <col min="2307" max="2307" width="85.42578125" style="73" customWidth="1"/>
    <col min="2308" max="2308" width="20.5703125" style="73" customWidth="1"/>
    <col min="2309" max="2309" width="19.5703125" style="73" customWidth="1"/>
    <col min="2310" max="2310" width="13.28515625" style="73" customWidth="1"/>
    <col min="2311" max="2311" width="20.7109375" style="73" customWidth="1"/>
    <col min="2312" max="2560" width="9.140625" style="73"/>
    <col min="2561" max="2561" width="7.42578125" style="73" customWidth="1"/>
    <col min="2562" max="2562" width="10.140625" style="73" customWidth="1"/>
    <col min="2563" max="2563" width="85.42578125" style="73" customWidth="1"/>
    <col min="2564" max="2564" width="20.5703125" style="73" customWidth="1"/>
    <col min="2565" max="2565" width="19.5703125" style="73" customWidth="1"/>
    <col min="2566" max="2566" width="13.28515625" style="73" customWidth="1"/>
    <col min="2567" max="2567" width="20.7109375" style="73" customWidth="1"/>
    <col min="2568" max="2816" width="9.140625" style="73"/>
    <col min="2817" max="2817" width="7.42578125" style="73" customWidth="1"/>
    <col min="2818" max="2818" width="10.140625" style="73" customWidth="1"/>
    <col min="2819" max="2819" width="85.42578125" style="73" customWidth="1"/>
    <col min="2820" max="2820" width="20.5703125" style="73" customWidth="1"/>
    <col min="2821" max="2821" width="19.5703125" style="73" customWidth="1"/>
    <col min="2822" max="2822" width="13.28515625" style="73" customWidth="1"/>
    <col min="2823" max="2823" width="20.7109375" style="73" customWidth="1"/>
    <col min="2824" max="3072" width="9.140625" style="73"/>
    <col min="3073" max="3073" width="7.42578125" style="73" customWidth="1"/>
    <col min="3074" max="3074" width="10.140625" style="73" customWidth="1"/>
    <col min="3075" max="3075" width="85.42578125" style="73" customWidth="1"/>
    <col min="3076" max="3076" width="20.5703125" style="73" customWidth="1"/>
    <col min="3077" max="3077" width="19.5703125" style="73" customWidth="1"/>
    <col min="3078" max="3078" width="13.28515625" style="73" customWidth="1"/>
    <col min="3079" max="3079" width="20.7109375" style="73" customWidth="1"/>
    <col min="3080" max="3328" width="9.140625" style="73"/>
    <col min="3329" max="3329" width="7.42578125" style="73" customWidth="1"/>
    <col min="3330" max="3330" width="10.140625" style="73" customWidth="1"/>
    <col min="3331" max="3331" width="85.42578125" style="73" customWidth="1"/>
    <col min="3332" max="3332" width="20.5703125" style="73" customWidth="1"/>
    <col min="3333" max="3333" width="19.5703125" style="73" customWidth="1"/>
    <col min="3334" max="3334" width="13.28515625" style="73" customWidth="1"/>
    <col min="3335" max="3335" width="20.7109375" style="73" customWidth="1"/>
    <col min="3336" max="3584" width="9.140625" style="73"/>
    <col min="3585" max="3585" width="7.42578125" style="73" customWidth="1"/>
    <col min="3586" max="3586" width="10.140625" style="73" customWidth="1"/>
    <col min="3587" max="3587" width="85.42578125" style="73" customWidth="1"/>
    <col min="3588" max="3588" width="20.5703125" style="73" customWidth="1"/>
    <col min="3589" max="3589" width="19.5703125" style="73" customWidth="1"/>
    <col min="3590" max="3590" width="13.28515625" style="73" customWidth="1"/>
    <col min="3591" max="3591" width="20.7109375" style="73" customWidth="1"/>
    <col min="3592" max="3840" width="9.140625" style="73"/>
    <col min="3841" max="3841" width="7.42578125" style="73" customWidth="1"/>
    <col min="3842" max="3842" width="10.140625" style="73" customWidth="1"/>
    <col min="3843" max="3843" width="85.42578125" style="73" customWidth="1"/>
    <col min="3844" max="3844" width="20.5703125" style="73" customWidth="1"/>
    <col min="3845" max="3845" width="19.5703125" style="73" customWidth="1"/>
    <col min="3846" max="3846" width="13.28515625" style="73" customWidth="1"/>
    <col min="3847" max="3847" width="20.7109375" style="73" customWidth="1"/>
    <col min="3848" max="4096" width="9.140625" style="73"/>
    <col min="4097" max="4097" width="7.42578125" style="73" customWidth="1"/>
    <col min="4098" max="4098" width="10.140625" style="73" customWidth="1"/>
    <col min="4099" max="4099" width="85.42578125" style="73" customWidth="1"/>
    <col min="4100" max="4100" width="20.5703125" style="73" customWidth="1"/>
    <col min="4101" max="4101" width="19.5703125" style="73" customWidth="1"/>
    <col min="4102" max="4102" width="13.28515625" style="73" customWidth="1"/>
    <col min="4103" max="4103" width="20.7109375" style="73" customWidth="1"/>
    <col min="4104" max="4352" width="9.140625" style="73"/>
    <col min="4353" max="4353" width="7.42578125" style="73" customWidth="1"/>
    <col min="4354" max="4354" width="10.140625" style="73" customWidth="1"/>
    <col min="4355" max="4355" width="85.42578125" style="73" customWidth="1"/>
    <col min="4356" max="4356" width="20.5703125" style="73" customWidth="1"/>
    <col min="4357" max="4357" width="19.5703125" style="73" customWidth="1"/>
    <col min="4358" max="4358" width="13.28515625" style="73" customWidth="1"/>
    <col min="4359" max="4359" width="20.7109375" style="73" customWidth="1"/>
    <col min="4360" max="4608" width="9.140625" style="73"/>
    <col min="4609" max="4609" width="7.42578125" style="73" customWidth="1"/>
    <col min="4610" max="4610" width="10.140625" style="73" customWidth="1"/>
    <col min="4611" max="4611" width="85.42578125" style="73" customWidth="1"/>
    <col min="4612" max="4612" width="20.5703125" style="73" customWidth="1"/>
    <col min="4613" max="4613" width="19.5703125" style="73" customWidth="1"/>
    <col min="4614" max="4614" width="13.28515625" style="73" customWidth="1"/>
    <col min="4615" max="4615" width="20.7109375" style="73" customWidth="1"/>
    <col min="4616" max="4864" width="9.140625" style="73"/>
    <col min="4865" max="4865" width="7.42578125" style="73" customWidth="1"/>
    <col min="4866" max="4866" width="10.140625" style="73" customWidth="1"/>
    <col min="4867" max="4867" width="85.42578125" style="73" customWidth="1"/>
    <col min="4868" max="4868" width="20.5703125" style="73" customWidth="1"/>
    <col min="4869" max="4869" width="19.5703125" style="73" customWidth="1"/>
    <col min="4870" max="4870" width="13.28515625" style="73" customWidth="1"/>
    <col min="4871" max="4871" width="20.7109375" style="73" customWidth="1"/>
    <col min="4872" max="5120" width="9.140625" style="73"/>
    <col min="5121" max="5121" width="7.42578125" style="73" customWidth="1"/>
    <col min="5122" max="5122" width="10.140625" style="73" customWidth="1"/>
    <col min="5123" max="5123" width="85.42578125" style="73" customWidth="1"/>
    <col min="5124" max="5124" width="20.5703125" style="73" customWidth="1"/>
    <col min="5125" max="5125" width="19.5703125" style="73" customWidth="1"/>
    <col min="5126" max="5126" width="13.28515625" style="73" customWidth="1"/>
    <col min="5127" max="5127" width="20.7109375" style="73" customWidth="1"/>
    <col min="5128" max="5376" width="9.140625" style="73"/>
    <col min="5377" max="5377" width="7.42578125" style="73" customWidth="1"/>
    <col min="5378" max="5378" width="10.140625" style="73" customWidth="1"/>
    <col min="5379" max="5379" width="85.42578125" style="73" customWidth="1"/>
    <col min="5380" max="5380" width="20.5703125" style="73" customWidth="1"/>
    <col min="5381" max="5381" width="19.5703125" style="73" customWidth="1"/>
    <col min="5382" max="5382" width="13.28515625" style="73" customWidth="1"/>
    <col min="5383" max="5383" width="20.7109375" style="73" customWidth="1"/>
    <col min="5384" max="5632" width="9.140625" style="73"/>
    <col min="5633" max="5633" width="7.42578125" style="73" customWidth="1"/>
    <col min="5634" max="5634" width="10.140625" style="73" customWidth="1"/>
    <col min="5635" max="5635" width="85.42578125" style="73" customWidth="1"/>
    <col min="5636" max="5636" width="20.5703125" style="73" customWidth="1"/>
    <col min="5637" max="5637" width="19.5703125" style="73" customWidth="1"/>
    <col min="5638" max="5638" width="13.28515625" style="73" customWidth="1"/>
    <col min="5639" max="5639" width="20.7109375" style="73" customWidth="1"/>
    <col min="5640" max="5888" width="9.140625" style="73"/>
    <col min="5889" max="5889" width="7.42578125" style="73" customWidth="1"/>
    <col min="5890" max="5890" width="10.140625" style="73" customWidth="1"/>
    <col min="5891" max="5891" width="85.42578125" style="73" customWidth="1"/>
    <col min="5892" max="5892" width="20.5703125" style="73" customWidth="1"/>
    <col min="5893" max="5893" width="19.5703125" style="73" customWidth="1"/>
    <col min="5894" max="5894" width="13.28515625" style="73" customWidth="1"/>
    <col min="5895" max="5895" width="20.7109375" style="73" customWidth="1"/>
    <col min="5896" max="6144" width="9.140625" style="73"/>
    <col min="6145" max="6145" width="7.42578125" style="73" customWidth="1"/>
    <col min="6146" max="6146" width="10.140625" style="73" customWidth="1"/>
    <col min="6147" max="6147" width="85.42578125" style="73" customWidth="1"/>
    <col min="6148" max="6148" width="20.5703125" style="73" customWidth="1"/>
    <col min="6149" max="6149" width="19.5703125" style="73" customWidth="1"/>
    <col min="6150" max="6150" width="13.28515625" style="73" customWidth="1"/>
    <col min="6151" max="6151" width="20.7109375" style="73" customWidth="1"/>
    <col min="6152" max="6400" width="9.140625" style="73"/>
    <col min="6401" max="6401" width="7.42578125" style="73" customWidth="1"/>
    <col min="6402" max="6402" width="10.140625" style="73" customWidth="1"/>
    <col min="6403" max="6403" width="85.42578125" style="73" customWidth="1"/>
    <col min="6404" max="6404" width="20.5703125" style="73" customWidth="1"/>
    <col min="6405" max="6405" width="19.5703125" style="73" customWidth="1"/>
    <col min="6406" max="6406" width="13.28515625" style="73" customWidth="1"/>
    <col min="6407" max="6407" width="20.7109375" style="73" customWidth="1"/>
    <col min="6408" max="6656" width="9.140625" style="73"/>
    <col min="6657" max="6657" width="7.42578125" style="73" customWidth="1"/>
    <col min="6658" max="6658" width="10.140625" style="73" customWidth="1"/>
    <col min="6659" max="6659" width="85.42578125" style="73" customWidth="1"/>
    <col min="6660" max="6660" width="20.5703125" style="73" customWidth="1"/>
    <col min="6661" max="6661" width="19.5703125" style="73" customWidth="1"/>
    <col min="6662" max="6662" width="13.28515625" style="73" customWidth="1"/>
    <col min="6663" max="6663" width="20.7109375" style="73" customWidth="1"/>
    <col min="6664" max="6912" width="9.140625" style="73"/>
    <col min="6913" max="6913" width="7.42578125" style="73" customWidth="1"/>
    <col min="6914" max="6914" width="10.140625" style="73" customWidth="1"/>
    <col min="6915" max="6915" width="85.42578125" style="73" customWidth="1"/>
    <col min="6916" max="6916" width="20.5703125" style="73" customWidth="1"/>
    <col min="6917" max="6917" width="19.5703125" style="73" customWidth="1"/>
    <col min="6918" max="6918" width="13.28515625" style="73" customWidth="1"/>
    <col min="6919" max="6919" width="20.7109375" style="73" customWidth="1"/>
    <col min="6920" max="7168" width="9.140625" style="73"/>
    <col min="7169" max="7169" width="7.42578125" style="73" customWidth="1"/>
    <col min="7170" max="7170" width="10.140625" style="73" customWidth="1"/>
    <col min="7171" max="7171" width="85.42578125" style="73" customWidth="1"/>
    <col min="7172" max="7172" width="20.5703125" style="73" customWidth="1"/>
    <col min="7173" max="7173" width="19.5703125" style="73" customWidth="1"/>
    <col min="7174" max="7174" width="13.28515625" style="73" customWidth="1"/>
    <col min="7175" max="7175" width="20.7109375" style="73" customWidth="1"/>
    <col min="7176" max="7424" width="9.140625" style="73"/>
    <col min="7425" max="7425" width="7.42578125" style="73" customWidth="1"/>
    <col min="7426" max="7426" width="10.140625" style="73" customWidth="1"/>
    <col min="7427" max="7427" width="85.42578125" style="73" customWidth="1"/>
    <col min="7428" max="7428" width="20.5703125" style="73" customWidth="1"/>
    <col min="7429" max="7429" width="19.5703125" style="73" customWidth="1"/>
    <col min="7430" max="7430" width="13.28515625" style="73" customWidth="1"/>
    <col min="7431" max="7431" width="20.7109375" style="73" customWidth="1"/>
    <col min="7432" max="7680" width="9.140625" style="73"/>
    <col min="7681" max="7681" width="7.42578125" style="73" customWidth="1"/>
    <col min="7682" max="7682" width="10.140625" style="73" customWidth="1"/>
    <col min="7683" max="7683" width="85.42578125" style="73" customWidth="1"/>
    <col min="7684" max="7684" width="20.5703125" style="73" customWidth="1"/>
    <col min="7685" max="7685" width="19.5703125" style="73" customWidth="1"/>
    <col min="7686" max="7686" width="13.28515625" style="73" customWidth="1"/>
    <col min="7687" max="7687" width="20.7109375" style="73" customWidth="1"/>
    <col min="7688" max="7936" width="9.140625" style="73"/>
    <col min="7937" max="7937" width="7.42578125" style="73" customWidth="1"/>
    <col min="7938" max="7938" width="10.140625" style="73" customWidth="1"/>
    <col min="7939" max="7939" width="85.42578125" style="73" customWidth="1"/>
    <col min="7940" max="7940" width="20.5703125" style="73" customWidth="1"/>
    <col min="7941" max="7941" width="19.5703125" style="73" customWidth="1"/>
    <col min="7942" max="7942" width="13.28515625" style="73" customWidth="1"/>
    <col min="7943" max="7943" width="20.7109375" style="73" customWidth="1"/>
    <col min="7944" max="8192" width="9.140625" style="73"/>
    <col min="8193" max="8193" width="7.42578125" style="73" customWidth="1"/>
    <col min="8194" max="8194" width="10.140625" style="73" customWidth="1"/>
    <col min="8195" max="8195" width="85.42578125" style="73" customWidth="1"/>
    <col min="8196" max="8196" width="20.5703125" style="73" customWidth="1"/>
    <col min="8197" max="8197" width="19.5703125" style="73" customWidth="1"/>
    <col min="8198" max="8198" width="13.28515625" style="73" customWidth="1"/>
    <col min="8199" max="8199" width="20.7109375" style="73" customWidth="1"/>
    <col min="8200" max="8448" width="9.140625" style="73"/>
    <col min="8449" max="8449" width="7.42578125" style="73" customWidth="1"/>
    <col min="8450" max="8450" width="10.140625" style="73" customWidth="1"/>
    <col min="8451" max="8451" width="85.42578125" style="73" customWidth="1"/>
    <col min="8452" max="8452" width="20.5703125" style="73" customWidth="1"/>
    <col min="8453" max="8453" width="19.5703125" style="73" customWidth="1"/>
    <col min="8454" max="8454" width="13.28515625" style="73" customWidth="1"/>
    <col min="8455" max="8455" width="20.7109375" style="73" customWidth="1"/>
    <col min="8456" max="8704" width="9.140625" style="73"/>
    <col min="8705" max="8705" width="7.42578125" style="73" customWidth="1"/>
    <col min="8706" max="8706" width="10.140625" style="73" customWidth="1"/>
    <col min="8707" max="8707" width="85.42578125" style="73" customWidth="1"/>
    <col min="8708" max="8708" width="20.5703125" style="73" customWidth="1"/>
    <col min="8709" max="8709" width="19.5703125" style="73" customWidth="1"/>
    <col min="8710" max="8710" width="13.28515625" style="73" customWidth="1"/>
    <col min="8711" max="8711" width="20.7109375" style="73" customWidth="1"/>
    <col min="8712" max="8960" width="9.140625" style="73"/>
    <col min="8961" max="8961" width="7.42578125" style="73" customWidth="1"/>
    <col min="8962" max="8962" width="10.140625" style="73" customWidth="1"/>
    <col min="8963" max="8963" width="85.42578125" style="73" customWidth="1"/>
    <col min="8964" max="8964" width="20.5703125" style="73" customWidth="1"/>
    <col min="8965" max="8965" width="19.5703125" style="73" customWidth="1"/>
    <col min="8966" max="8966" width="13.28515625" style="73" customWidth="1"/>
    <col min="8967" max="8967" width="20.7109375" style="73" customWidth="1"/>
    <col min="8968" max="9216" width="9.140625" style="73"/>
    <col min="9217" max="9217" width="7.42578125" style="73" customWidth="1"/>
    <col min="9218" max="9218" width="10.140625" style="73" customWidth="1"/>
    <col min="9219" max="9219" width="85.42578125" style="73" customWidth="1"/>
    <col min="9220" max="9220" width="20.5703125" style="73" customWidth="1"/>
    <col min="9221" max="9221" width="19.5703125" style="73" customWidth="1"/>
    <col min="9222" max="9222" width="13.28515625" style="73" customWidth="1"/>
    <col min="9223" max="9223" width="20.7109375" style="73" customWidth="1"/>
    <col min="9224" max="9472" width="9.140625" style="73"/>
    <col min="9473" max="9473" width="7.42578125" style="73" customWidth="1"/>
    <col min="9474" max="9474" width="10.140625" style="73" customWidth="1"/>
    <col min="9475" max="9475" width="85.42578125" style="73" customWidth="1"/>
    <col min="9476" max="9476" width="20.5703125" style="73" customWidth="1"/>
    <col min="9477" max="9477" width="19.5703125" style="73" customWidth="1"/>
    <col min="9478" max="9478" width="13.28515625" style="73" customWidth="1"/>
    <col min="9479" max="9479" width="20.7109375" style="73" customWidth="1"/>
    <col min="9480" max="9728" width="9.140625" style="73"/>
    <col min="9729" max="9729" width="7.42578125" style="73" customWidth="1"/>
    <col min="9730" max="9730" width="10.140625" style="73" customWidth="1"/>
    <col min="9731" max="9731" width="85.42578125" style="73" customWidth="1"/>
    <col min="9732" max="9732" width="20.5703125" style="73" customWidth="1"/>
    <col min="9733" max="9733" width="19.5703125" style="73" customWidth="1"/>
    <col min="9734" max="9734" width="13.28515625" style="73" customWidth="1"/>
    <col min="9735" max="9735" width="20.7109375" style="73" customWidth="1"/>
    <col min="9736" max="9984" width="9.140625" style="73"/>
    <col min="9985" max="9985" width="7.42578125" style="73" customWidth="1"/>
    <col min="9986" max="9986" width="10.140625" style="73" customWidth="1"/>
    <col min="9987" max="9987" width="85.42578125" style="73" customWidth="1"/>
    <col min="9988" max="9988" width="20.5703125" style="73" customWidth="1"/>
    <col min="9989" max="9989" width="19.5703125" style="73" customWidth="1"/>
    <col min="9990" max="9990" width="13.28515625" style="73" customWidth="1"/>
    <col min="9991" max="9991" width="20.7109375" style="73" customWidth="1"/>
    <col min="9992" max="10240" width="9.140625" style="73"/>
    <col min="10241" max="10241" width="7.42578125" style="73" customWidth="1"/>
    <col min="10242" max="10242" width="10.140625" style="73" customWidth="1"/>
    <col min="10243" max="10243" width="85.42578125" style="73" customWidth="1"/>
    <col min="10244" max="10244" width="20.5703125" style="73" customWidth="1"/>
    <col min="10245" max="10245" width="19.5703125" style="73" customWidth="1"/>
    <col min="10246" max="10246" width="13.28515625" style="73" customWidth="1"/>
    <col min="10247" max="10247" width="20.7109375" style="73" customWidth="1"/>
    <col min="10248" max="10496" width="9.140625" style="73"/>
    <col min="10497" max="10497" width="7.42578125" style="73" customWidth="1"/>
    <col min="10498" max="10498" width="10.140625" style="73" customWidth="1"/>
    <col min="10499" max="10499" width="85.42578125" style="73" customWidth="1"/>
    <col min="10500" max="10500" width="20.5703125" style="73" customWidth="1"/>
    <col min="10501" max="10501" width="19.5703125" style="73" customWidth="1"/>
    <col min="10502" max="10502" width="13.28515625" style="73" customWidth="1"/>
    <col min="10503" max="10503" width="20.7109375" style="73" customWidth="1"/>
    <col min="10504" max="10752" width="9.140625" style="73"/>
    <col min="10753" max="10753" width="7.42578125" style="73" customWidth="1"/>
    <col min="10754" max="10754" width="10.140625" style="73" customWidth="1"/>
    <col min="10755" max="10755" width="85.42578125" style="73" customWidth="1"/>
    <col min="10756" max="10756" width="20.5703125" style="73" customWidth="1"/>
    <col min="10757" max="10757" width="19.5703125" style="73" customWidth="1"/>
    <col min="10758" max="10758" width="13.28515625" style="73" customWidth="1"/>
    <col min="10759" max="10759" width="20.7109375" style="73" customWidth="1"/>
    <col min="10760" max="11008" width="9.140625" style="73"/>
    <col min="11009" max="11009" width="7.42578125" style="73" customWidth="1"/>
    <col min="11010" max="11010" width="10.140625" style="73" customWidth="1"/>
    <col min="11011" max="11011" width="85.42578125" style="73" customWidth="1"/>
    <col min="11012" max="11012" width="20.5703125" style="73" customWidth="1"/>
    <col min="11013" max="11013" width="19.5703125" style="73" customWidth="1"/>
    <col min="11014" max="11014" width="13.28515625" style="73" customWidth="1"/>
    <col min="11015" max="11015" width="20.7109375" style="73" customWidth="1"/>
    <col min="11016" max="11264" width="9.140625" style="73"/>
    <col min="11265" max="11265" width="7.42578125" style="73" customWidth="1"/>
    <col min="11266" max="11266" width="10.140625" style="73" customWidth="1"/>
    <col min="11267" max="11267" width="85.42578125" style="73" customWidth="1"/>
    <col min="11268" max="11268" width="20.5703125" style="73" customWidth="1"/>
    <col min="11269" max="11269" width="19.5703125" style="73" customWidth="1"/>
    <col min="11270" max="11270" width="13.28515625" style="73" customWidth="1"/>
    <col min="11271" max="11271" width="20.7109375" style="73" customWidth="1"/>
    <col min="11272" max="11520" width="9.140625" style="73"/>
    <col min="11521" max="11521" width="7.42578125" style="73" customWidth="1"/>
    <col min="11522" max="11522" width="10.140625" style="73" customWidth="1"/>
    <col min="11523" max="11523" width="85.42578125" style="73" customWidth="1"/>
    <col min="11524" max="11524" width="20.5703125" style="73" customWidth="1"/>
    <col min="11525" max="11525" width="19.5703125" style="73" customWidth="1"/>
    <col min="11526" max="11526" width="13.28515625" style="73" customWidth="1"/>
    <col min="11527" max="11527" width="20.7109375" style="73" customWidth="1"/>
    <col min="11528" max="11776" width="9.140625" style="73"/>
    <col min="11777" max="11777" width="7.42578125" style="73" customWidth="1"/>
    <col min="11778" max="11778" width="10.140625" style="73" customWidth="1"/>
    <col min="11779" max="11779" width="85.42578125" style="73" customWidth="1"/>
    <col min="11780" max="11780" width="20.5703125" style="73" customWidth="1"/>
    <col min="11781" max="11781" width="19.5703125" style="73" customWidth="1"/>
    <col min="11782" max="11782" width="13.28515625" style="73" customWidth="1"/>
    <col min="11783" max="11783" width="20.7109375" style="73" customWidth="1"/>
    <col min="11784" max="12032" width="9.140625" style="73"/>
    <col min="12033" max="12033" width="7.42578125" style="73" customWidth="1"/>
    <col min="12034" max="12034" width="10.140625" style="73" customWidth="1"/>
    <col min="12035" max="12035" width="85.42578125" style="73" customWidth="1"/>
    <col min="12036" max="12036" width="20.5703125" style="73" customWidth="1"/>
    <col min="12037" max="12037" width="19.5703125" style="73" customWidth="1"/>
    <col min="12038" max="12038" width="13.28515625" style="73" customWidth="1"/>
    <col min="12039" max="12039" width="20.7109375" style="73" customWidth="1"/>
    <col min="12040" max="12288" width="9.140625" style="73"/>
    <col min="12289" max="12289" width="7.42578125" style="73" customWidth="1"/>
    <col min="12290" max="12290" width="10.140625" style="73" customWidth="1"/>
    <col min="12291" max="12291" width="85.42578125" style="73" customWidth="1"/>
    <col min="12292" max="12292" width="20.5703125" style="73" customWidth="1"/>
    <col min="12293" max="12293" width="19.5703125" style="73" customWidth="1"/>
    <col min="12294" max="12294" width="13.28515625" style="73" customWidth="1"/>
    <col min="12295" max="12295" width="20.7109375" style="73" customWidth="1"/>
    <col min="12296" max="12544" width="9.140625" style="73"/>
    <col min="12545" max="12545" width="7.42578125" style="73" customWidth="1"/>
    <col min="12546" max="12546" width="10.140625" style="73" customWidth="1"/>
    <col min="12547" max="12547" width="85.42578125" style="73" customWidth="1"/>
    <col min="12548" max="12548" width="20.5703125" style="73" customWidth="1"/>
    <col min="12549" max="12549" width="19.5703125" style="73" customWidth="1"/>
    <col min="12550" max="12550" width="13.28515625" style="73" customWidth="1"/>
    <col min="12551" max="12551" width="20.7109375" style="73" customWidth="1"/>
    <col min="12552" max="12800" width="9.140625" style="73"/>
    <col min="12801" max="12801" width="7.42578125" style="73" customWidth="1"/>
    <col min="12802" max="12802" width="10.140625" style="73" customWidth="1"/>
    <col min="12803" max="12803" width="85.42578125" style="73" customWidth="1"/>
    <col min="12804" max="12804" width="20.5703125" style="73" customWidth="1"/>
    <col min="12805" max="12805" width="19.5703125" style="73" customWidth="1"/>
    <col min="12806" max="12806" width="13.28515625" style="73" customWidth="1"/>
    <col min="12807" max="12807" width="20.7109375" style="73" customWidth="1"/>
    <col min="12808" max="13056" width="9.140625" style="73"/>
    <col min="13057" max="13057" width="7.42578125" style="73" customWidth="1"/>
    <col min="13058" max="13058" width="10.140625" style="73" customWidth="1"/>
    <col min="13059" max="13059" width="85.42578125" style="73" customWidth="1"/>
    <col min="13060" max="13060" width="20.5703125" style="73" customWidth="1"/>
    <col min="13061" max="13061" width="19.5703125" style="73" customWidth="1"/>
    <col min="13062" max="13062" width="13.28515625" style="73" customWidth="1"/>
    <col min="13063" max="13063" width="20.7109375" style="73" customWidth="1"/>
    <col min="13064" max="13312" width="9.140625" style="73"/>
    <col min="13313" max="13313" width="7.42578125" style="73" customWidth="1"/>
    <col min="13314" max="13314" width="10.140625" style="73" customWidth="1"/>
    <col min="13315" max="13315" width="85.42578125" style="73" customWidth="1"/>
    <col min="13316" max="13316" width="20.5703125" style="73" customWidth="1"/>
    <col min="13317" max="13317" width="19.5703125" style="73" customWidth="1"/>
    <col min="13318" max="13318" width="13.28515625" style="73" customWidth="1"/>
    <col min="13319" max="13319" width="20.7109375" style="73" customWidth="1"/>
    <col min="13320" max="13568" width="9.140625" style="73"/>
    <col min="13569" max="13569" width="7.42578125" style="73" customWidth="1"/>
    <col min="13570" max="13570" width="10.140625" style="73" customWidth="1"/>
    <col min="13571" max="13571" width="85.42578125" style="73" customWidth="1"/>
    <col min="13572" max="13572" width="20.5703125" style="73" customWidth="1"/>
    <col min="13573" max="13573" width="19.5703125" style="73" customWidth="1"/>
    <col min="13574" max="13574" width="13.28515625" style="73" customWidth="1"/>
    <col min="13575" max="13575" width="20.7109375" style="73" customWidth="1"/>
    <col min="13576" max="13824" width="9.140625" style="73"/>
    <col min="13825" max="13825" width="7.42578125" style="73" customWidth="1"/>
    <col min="13826" max="13826" width="10.140625" style="73" customWidth="1"/>
    <col min="13827" max="13827" width="85.42578125" style="73" customWidth="1"/>
    <col min="13828" max="13828" width="20.5703125" style="73" customWidth="1"/>
    <col min="13829" max="13829" width="19.5703125" style="73" customWidth="1"/>
    <col min="13830" max="13830" width="13.28515625" style="73" customWidth="1"/>
    <col min="13831" max="13831" width="20.7109375" style="73" customWidth="1"/>
    <col min="13832" max="14080" width="9.140625" style="73"/>
    <col min="14081" max="14081" width="7.42578125" style="73" customWidth="1"/>
    <col min="14082" max="14082" width="10.140625" style="73" customWidth="1"/>
    <col min="14083" max="14083" width="85.42578125" style="73" customWidth="1"/>
    <col min="14084" max="14084" width="20.5703125" style="73" customWidth="1"/>
    <col min="14085" max="14085" width="19.5703125" style="73" customWidth="1"/>
    <col min="14086" max="14086" width="13.28515625" style="73" customWidth="1"/>
    <col min="14087" max="14087" width="20.7109375" style="73" customWidth="1"/>
    <col min="14088" max="14336" width="9.140625" style="73"/>
    <col min="14337" max="14337" width="7.42578125" style="73" customWidth="1"/>
    <col min="14338" max="14338" width="10.140625" style="73" customWidth="1"/>
    <col min="14339" max="14339" width="85.42578125" style="73" customWidth="1"/>
    <col min="14340" max="14340" width="20.5703125" style="73" customWidth="1"/>
    <col min="14341" max="14341" width="19.5703125" style="73" customWidth="1"/>
    <col min="14342" max="14342" width="13.28515625" style="73" customWidth="1"/>
    <col min="14343" max="14343" width="20.7109375" style="73" customWidth="1"/>
    <col min="14344" max="14592" width="9.140625" style="73"/>
    <col min="14593" max="14593" width="7.42578125" style="73" customWidth="1"/>
    <col min="14594" max="14594" width="10.140625" style="73" customWidth="1"/>
    <col min="14595" max="14595" width="85.42578125" style="73" customWidth="1"/>
    <col min="14596" max="14596" width="20.5703125" style="73" customWidth="1"/>
    <col min="14597" max="14597" width="19.5703125" style="73" customWidth="1"/>
    <col min="14598" max="14598" width="13.28515625" style="73" customWidth="1"/>
    <col min="14599" max="14599" width="20.7109375" style="73" customWidth="1"/>
    <col min="14600" max="14848" width="9.140625" style="73"/>
    <col min="14849" max="14849" width="7.42578125" style="73" customWidth="1"/>
    <col min="14850" max="14850" width="10.140625" style="73" customWidth="1"/>
    <col min="14851" max="14851" width="85.42578125" style="73" customWidth="1"/>
    <col min="14852" max="14852" width="20.5703125" style="73" customWidth="1"/>
    <col min="14853" max="14853" width="19.5703125" style="73" customWidth="1"/>
    <col min="14854" max="14854" width="13.28515625" style="73" customWidth="1"/>
    <col min="14855" max="14855" width="20.7109375" style="73" customWidth="1"/>
    <col min="14856" max="15104" width="9.140625" style="73"/>
    <col min="15105" max="15105" width="7.42578125" style="73" customWidth="1"/>
    <col min="15106" max="15106" width="10.140625" style="73" customWidth="1"/>
    <col min="15107" max="15107" width="85.42578125" style="73" customWidth="1"/>
    <col min="15108" max="15108" width="20.5703125" style="73" customWidth="1"/>
    <col min="15109" max="15109" width="19.5703125" style="73" customWidth="1"/>
    <col min="15110" max="15110" width="13.28515625" style="73" customWidth="1"/>
    <col min="15111" max="15111" width="20.7109375" style="73" customWidth="1"/>
    <col min="15112" max="15360" width="9.140625" style="73"/>
    <col min="15361" max="15361" width="7.42578125" style="73" customWidth="1"/>
    <col min="15362" max="15362" width="10.140625" style="73" customWidth="1"/>
    <col min="15363" max="15363" width="85.42578125" style="73" customWidth="1"/>
    <col min="15364" max="15364" width="20.5703125" style="73" customWidth="1"/>
    <col min="15365" max="15365" width="19.5703125" style="73" customWidth="1"/>
    <col min="15366" max="15366" width="13.28515625" style="73" customWidth="1"/>
    <col min="15367" max="15367" width="20.7109375" style="73" customWidth="1"/>
    <col min="15368" max="15616" width="9.140625" style="73"/>
    <col min="15617" max="15617" width="7.42578125" style="73" customWidth="1"/>
    <col min="15618" max="15618" width="10.140625" style="73" customWidth="1"/>
    <col min="15619" max="15619" width="85.42578125" style="73" customWidth="1"/>
    <col min="15620" max="15620" width="20.5703125" style="73" customWidth="1"/>
    <col min="15621" max="15621" width="19.5703125" style="73" customWidth="1"/>
    <col min="15622" max="15622" width="13.28515625" style="73" customWidth="1"/>
    <col min="15623" max="15623" width="20.7109375" style="73" customWidth="1"/>
    <col min="15624" max="15872" width="9.140625" style="73"/>
    <col min="15873" max="15873" width="7.42578125" style="73" customWidth="1"/>
    <col min="15874" max="15874" width="10.140625" style="73" customWidth="1"/>
    <col min="15875" max="15875" width="85.42578125" style="73" customWidth="1"/>
    <col min="15876" max="15876" width="20.5703125" style="73" customWidth="1"/>
    <col min="15877" max="15877" width="19.5703125" style="73" customWidth="1"/>
    <col min="15878" max="15878" width="13.28515625" style="73" customWidth="1"/>
    <col min="15879" max="15879" width="20.7109375" style="73" customWidth="1"/>
    <col min="15880" max="16128" width="9.140625" style="73"/>
    <col min="16129" max="16129" width="7.42578125" style="73" customWidth="1"/>
    <col min="16130" max="16130" width="10.140625" style="73" customWidth="1"/>
    <col min="16131" max="16131" width="85.42578125" style="73" customWidth="1"/>
    <col min="16132" max="16132" width="20.5703125" style="73" customWidth="1"/>
    <col min="16133" max="16133" width="19.5703125" style="73" customWidth="1"/>
    <col min="16134" max="16134" width="13.28515625" style="73" customWidth="1"/>
    <col min="16135" max="16135" width="20.7109375" style="73" customWidth="1"/>
    <col min="16136" max="16384" width="9.140625" style="73"/>
  </cols>
  <sheetData>
    <row r="1" spans="1:7" ht="18.95" customHeight="1">
      <c r="A1" s="69" t="s">
        <v>97</v>
      </c>
    </row>
    <row r="2" spans="1:7" ht="21.75" customHeight="1">
      <c r="A2" s="73" t="s">
        <v>98</v>
      </c>
    </row>
    <row r="3" spans="1:7" ht="23.25" customHeight="1">
      <c r="A3" s="308" t="s">
        <v>99</v>
      </c>
      <c r="B3" s="308"/>
      <c r="C3" s="308"/>
      <c r="D3" s="308"/>
      <c r="E3" s="308"/>
      <c r="F3" s="308"/>
    </row>
    <row r="4" spans="1:7" ht="18.95" customHeight="1">
      <c r="A4" s="73" t="s">
        <v>100</v>
      </c>
      <c r="D4" s="74"/>
      <c r="E4" s="70"/>
      <c r="F4" s="70"/>
    </row>
    <row r="5" spans="1:7" ht="18.95" customHeight="1">
      <c r="A5" s="73" t="s">
        <v>101</v>
      </c>
      <c r="D5" s="74"/>
      <c r="E5" s="70"/>
      <c r="F5" s="70"/>
    </row>
    <row r="6" spans="1:7" ht="18.95" customHeight="1">
      <c r="A6" s="75" t="s">
        <v>102</v>
      </c>
      <c r="B6" s="75"/>
      <c r="E6" s="76">
        <v>1390000</v>
      </c>
    </row>
    <row r="7" spans="1:7" s="79" customFormat="1" ht="36.75" customHeight="1">
      <c r="A7" s="77" t="s">
        <v>103</v>
      </c>
      <c r="B7" s="77" t="s">
        <v>104</v>
      </c>
      <c r="C7" s="77" t="s">
        <v>105</v>
      </c>
      <c r="D7" s="78" t="s">
        <v>106</v>
      </c>
      <c r="E7" s="77" t="s">
        <v>107</v>
      </c>
      <c r="F7" s="77" t="s">
        <v>108</v>
      </c>
    </row>
    <row r="8" spans="1:7" s="82" customFormat="1" ht="36.75" customHeight="1">
      <c r="A8" s="309" t="s">
        <v>109</v>
      </c>
      <c r="B8" s="310"/>
      <c r="C8" s="80" t="s">
        <v>110</v>
      </c>
      <c r="D8" s="81">
        <f>D9+D25+D113</f>
        <v>9532871269.7240009</v>
      </c>
      <c r="E8" s="80"/>
      <c r="F8" s="80"/>
    </row>
    <row r="9" spans="1:7" s="86" customFormat="1" ht="18.95" customHeight="1">
      <c r="A9" s="311"/>
      <c r="B9" s="312"/>
      <c r="C9" s="83" t="s">
        <v>111</v>
      </c>
      <c r="D9" s="84">
        <f>D10+D14+D20</f>
        <v>7665176969.7240009</v>
      </c>
      <c r="E9" s="85"/>
      <c r="F9" s="83"/>
    </row>
    <row r="10" spans="1:7" s="91" customFormat="1" ht="18.95" customHeight="1">
      <c r="A10" s="87">
        <v>6000</v>
      </c>
      <c r="B10" s="88"/>
      <c r="C10" s="87" t="s">
        <v>112</v>
      </c>
      <c r="D10" s="89">
        <f>D11+D12+D13</f>
        <v>4448889600</v>
      </c>
      <c r="E10" s="89"/>
      <c r="F10" s="89"/>
      <c r="G10" s="90"/>
    </row>
    <row r="11" spans="1:7" ht="22.5" customHeight="1">
      <c r="A11" s="92"/>
      <c r="B11" s="93" t="s">
        <v>113</v>
      </c>
      <c r="C11" s="92" t="s">
        <v>114</v>
      </c>
      <c r="D11" s="65">
        <f>178.09*$E$6*12</f>
        <v>2970541200</v>
      </c>
      <c r="E11" s="94"/>
      <c r="F11" s="47"/>
    </row>
    <row r="12" spans="1:7" ht="22.5" customHeight="1">
      <c r="A12" s="92"/>
      <c r="B12" s="93" t="s">
        <v>115</v>
      </c>
      <c r="C12" s="92" t="s">
        <v>116</v>
      </c>
      <c r="D12" s="65">
        <f>79.79*$E$6*12</f>
        <v>1330897200.0000002</v>
      </c>
      <c r="E12" s="94"/>
      <c r="F12" s="47"/>
      <c r="G12" s="95"/>
    </row>
    <row r="13" spans="1:7" ht="22.5" customHeight="1">
      <c r="A13" s="92"/>
      <c r="B13" s="93">
        <v>51</v>
      </c>
      <c r="C13" s="92" t="s">
        <v>117</v>
      </c>
      <c r="D13" s="65">
        <f>8.84*12*1390000</f>
        <v>147451200</v>
      </c>
      <c r="E13" s="94"/>
      <c r="F13" s="47"/>
      <c r="G13" s="95"/>
    </row>
    <row r="14" spans="1:7" s="69" customFormat="1" ht="22.5" customHeight="1">
      <c r="A14" s="87">
        <v>6101</v>
      </c>
      <c r="B14" s="88"/>
      <c r="C14" s="87" t="s">
        <v>73</v>
      </c>
      <c r="D14" s="89">
        <f>SUM(D15:D19)</f>
        <v>1952601236.0999999</v>
      </c>
      <c r="E14" s="96"/>
      <c r="F14" s="49"/>
      <c r="G14" s="97"/>
    </row>
    <row r="15" spans="1:7" ht="22.5" customHeight="1">
      <c r="A15" s="92"/>
      <c r="B15" s="93" t="s">
        <v>113</v>
      </c>
      <c r="C15" s="92" t="s">
        <v>118</v>
      </c>
      <c r="D15" s="65">
        <f>4.25*12*$E$6</f>
        <v>70890000</v>
      </c>
      <c r="E15" s="94"/>
      <c r="F15" s="47"/>
      <c r="G15" s="98"/>
    </row>
    <row r="16" spans="1:7" ht="22.5" customHeight="1">
      <c r="A16" s="92"/>
      <c r="B16" s="93" t="s">
        <v>119</v>
      </c>
      <c r="C16" s="92" t="s">
        <v>120</v>
      </c>
      <c r="D16" s="65">
        <f>67.68435*12*$E$6+0.5</f>
        <v>1128974958.5</v>
      </c>
      <c r="E16" s="94"/>
      <c r="F16" s="47"/>
    </row>
    <row r="17" spans="1:7" ht="22.5" customHeight="1">
      <c r="A17" s="92"/>
      <c r="B17" s="99">
        <v>13</v>
      </c>
      <c r="C17" s="92" t="s">
        <v>121</v>
      </c>
      <c r="D17" s="65">
        <f>0.3*E6*12</f>
        <v>5004000</v>
      </c>
      <c r="E17" s="94"/>
      <c r="F17" s="47"/>
    </row>
    <row r="18" spans="1:7" ht="22.5" customHeight="1">
      <c r="A18" s="92"/>
      <c r="B18" s="99">
        <v>15</v>
      </c>
      <c r="C18" s="92" t="s">
        <v>122</v>
      </c>
      <c r="D18" s="65">
        <f>42.94557*E6*12+70</f>
        <v>716332177.5999999</v>
      </c>
      <c r="E18" s="94"/>
      <c r="F18" s="47"/>
    </row>
    <row r="19" spans="1:7" ht="22.5" customHeight="1">
      <c r="A19" s="92"/>
      <c r="B19" s="99">
        <v>15</v>
      </c>
      <c r="C19" s="92" t="s">
        <v>123</v>
      </c>
      <c r="D19" s="65">
        <f>1.8825*E6*12</f>
        <v>31400100</v>
      </c>
      <c r="E19" s="94"/>
      <c r="F19" s="47"/>
    </row>
    <row r="20" spans="1:7" s="69" customFormat="1" ht="22.5" customHeight="1">
      <c r="A20" s="87">
        <v>6300</v>
      </c>
      <c r="B20" s="88"/>
      <c r="C20" s="87" t="s">
        <v>72</v>
      </c>
      <c r="D20" s="89">
        <f>SUM(D21:D24)</f>
        <v>1263686133.6240001</v>
      </c>
      <c r="E20" s="96"/>
      <c r="F20" s="49"/>
      <c r="G20" s="76"/>
    </row>
    <row r="21" spans="1:7" ht="22.5" customHeight="1">
      <c r="A21" s="92"/>
      <c r="B21" s="93" t="s">
        <v>113</v>
      </c>
      <c r="C21" s="92" t="s">
        <v>124</v>
      </c>
      <c r="D21" s="65">
        <v>948152137.96800005</v>
      </c>
      <c r="E21" s="94"/>
      <c r="F21" s="47"/>
      <c r="G21" s="76"/>
    </row>
    <row r="22" spans="1:7" ht="22.5" customHeight="1">
      <c r="A22" s="92"/>
      <c r="B22" s="93" t="s">
        <v>125</v>
      </c>
      <c r="C22" s="92" t="s">
        <v>126</v>
      </c>
      <c r="D22" s="65">
        <v>158025356.32800001</v>
      </c>
      <c r="E22" s="94"/>
      <c r="F22" s="47"/>
      <c r="G22" s="76"/>
    </row>
    <row r="23" spans="1:7" ht="22.5" customHeight="1">
      <c r="A23" s="92"/>
      <c r="B23" s="93" t="s">
        <v>115</v>
      </c>
      <c r="C23" s="92" t="s">
        <v>127</v>
      </c>
      <c r="D23" s="65">
        <v>105350237.55200002</v>
      </c>
      <c r="E23" s="94"/>
      <c r="F23" s="47"/>
      <c r="G23" s="76"/>
    </row>
    <row r="24" spans="1:7" ht="22.5" customHeight="1">
      <c r="A24" s="92"/>
      <c r="B24" s="93" t="s">
        <v>128</v>
      </c>
      <c r="C24" s="92" t="s">
        <v>129</v>
      </c>
      <c r="D24" s="65">
        <v>52158401.776000008</v>
      </c>
      <c r="E24" s="94"/>
      <c r="F24" s="47"/>
      <c r="G24" s="76"/>
    </row>
    <row r="25" spans="1:7" s="105" customFormat="1" ht="22.5" customHeight="1">
      <c r="A25" s="313"/>
      <c r="B25" s="314"/>
      <c r="C25" s="100" t="s">
        <v>59</v>
      </c>
      <c r="D25" s="101">
        <f>D26+D28+D32+D40+D46+D51+D60+D68</f>
        <v>1709099900</v>
      </c>
      <c r="E25" s="102"/>
      <c r="F25" s="103"/>
      <c r="G25" s="104"/>
    </row>
    <row r="26" spans="1:7" s="69" customFormat="1" ht="22.5" customHeight="1">
      <c r="A26" s="87"/>
      <c r="B26" s="106">
        <v>6400</v>
      </c>
      <c r="C26" s="87" t="s">
        <v>74</v>
      </c>
      <c r="D26" s="89">
        <f>D27</f>
        <v>37029600</v>
      </c>
      <c r="E26" s="96"/>
      <c r="F26" s="49"/>
      <c r="G26" s="107"/>
    </row>
    <row r="27" spans="1:7" ht="22.5" customHeight="1">
      <c r="A27" s="92"/>
      <c r="B27" s="99">
        <v>49</v>
      </c>
      <c r="C27" s="92" t="s">
        <v>130</v>
      </c>
      <c r="D27" s="65">
        <f>37*36*2*13900</f>
        <v>37029600</v>
      </c>
      <c r="E27" s="94"/>
      <c r="F27" s="47"/>
      <c r="G27" s="73">
        <f>36*C725*23*11500</f>
        <v>0</v>
      </c>
    </row>
    <row r="28" spans="1:7" s="69" customFormat="1" ht="22.5" customHeight="1">
      <c r="A28" s="87">
        <v>6500</v>
      </c>
      <c r="B28" s="88"/>
      <c r="C28" s="87" t="s">
        <v>131</v>
      </c>
      <c r="D28" s="89">
        <f>SUM(D29:D31)</f>
        <v>149040000</v>
      </c>
      <c r="E28" s="89"/>
      <c r="F28" s="108"/>
      <c r="G28" s="76">
        <f>D28+D32+D40+D46+D51+D60+D68+D114</f>
        <v>1830664700</v>
      </c>
    </row>
    <row r="29" spans="1:7" ht="22.5" customHeight="1">
      <c r="A29" s="92"/>
      <c r="B29" s="93" t="s">
        <v>113</v>
      </c>
      <c r="C29" s="92" t="s">
        <v>132</v>
      </c>
      <c r="D29" s="65">
        <f>12000000*12</f>
        <v>144000000</v>
      </c>
      <c r="E29" s="94"/>
      <c r="F29" s="47"/>
      <c r="G29" s="76">
        <f>74400/12</f>
        <v>6200</v>
      </c>
    </row>
    <row r="30" spans="1:7" ht="22.5" customHeight="1">
      <c r="A30" s="92"/>
      <c r="B30" s="93" t="s">
        <v>115</v>
      </c>
      <c r="C30" s="92" t="s">
        <v>133</v>
      </c>
      <c r="D30" s="65">
        <f>20*15000*12</f>
        <v>3600000</v>
      </c>
      <c r="E30" s="94"/>
      <c r="F30" s="47"/>
      <c r="G30" s="76">
        <f>409600*1.1</f>
        <v>450560.00000000006</v>
      </c>
    </row>
    <row r="31" spans="1:7" ht="22.5" customHeight="1">
      <c r="A31" s="92"/>
      <c r="B31" s="93" t="s">
        <v>128</v>
      </c>
      <c r="C31" s="92" t="s">
        <v>134</v>
      </c>
      <c r="D31" s="65">
        <f>120000*12</f>
        <v>1440000</v>
      </c>
      <c r="E31" s="94"/>
      <c r="F31" s="47"/>
      <c r="G31" s="76">
        <f>D28+D32+D40+D46+D51+D60+D68+D114</f>
        <v>1830664700</v>
      </c>
    </row>
    <row r="32" spans="1:7" s="69" customFormat="1" ht="25.5" customHeight="1">
      <c r="A32" s="87">
        <v>6550</v>
      </c>
      <c r="B32" s="88"/>
      <c r="C32" s="87" t="s">
        <v>135</v>
      </c>
      <c r="D32" s="89">
        <f>SUM(D33:D39)</f>
        <v>175354300</v>
      </c>
      <c r="E32" s="96"/>
      <c r="F32" s="49"/>
      <c r="G32" s="76"/>
    </row>
    <row r="33" spans="1:7" ht="23.25" customHeight="1">
      <c r="A33" s="92"/>
      <c r="B33" s="93">
        <v>51</v>
      </c>
      <c r="C33" s="92" t="s">
        <v>136</v>
      </c>
      <c r="D33" s="65">
        <f>15*88000*12</f>
        <v>15840000</v>
      </c>
      <c r="E33" s="94"/>
      <c r="F33" s="47"/>
    </row>
    <row r="34" spans="1:7" ht="23.25" customHeight="1">
      <c r="A34" s="92"/>
      <c r="B34" s="93">
        <v>51</v>
      </c>
      <c r="C34" s="92" t="s">
        <v>137</v>
      </c>
      <c r="D34" s="65">
        <f>88000*2*5*2</f>
        <v>1760000</v>
      </c>
      <c r="E34" s="94"/>
      <c r="F34" s="47"/>
      <c r="G34" s="76"/>
    </row>
    <row r="35" spans="1:7" ht="23.25" customHeight="1">
      <c r="A35" s="92"/>
      <c r="B35" s="93">
        <v>51</v>
      </c>
      <c r="C35" s="92" t="s">
        <v>138</v>
      </c>
      <c r="D35" s="65">
        <f>300*88000</f>
        <v>26400000</v>
      </c>
      <c r="E35" s="94"/>
      <c r="F35" s="47"/>
      <c r="G35" s="76"/>
    </row>
    <row r="36" spans="1:7" ht="23.25" customHeight="1">
      <c r="A36" s="92"/>
      <c r="B36" s="93">
        <v>51</v>
      </c>
      <c r="C36" s="92" t="s">
        <v>139</v>
      </c>
      <c r="D36" s="65">
        <f>60000000+3954300</f>
        <v>63954300</v>
      </c>
      <c r="E36" s="94"/>
      <c r="F36" s="47"/>
      <c r="G36" s="76"/>
    </row>
    <row r="37" spans="1:7" ht="23.25" customHeight="1">
      <c r="A37" s="92"/>
      <c r="B37" s="99">
        <v>99</v>
      </c>
      <c r="C37" s="92" t="s">
        <v>140</v>
      </c>
      <c r="D37" s="65">
        <f>10*3*160000</f>
        <v>4800000</v>
      </c>
      <c r="E37" s="94"/>
      <c r="F37" s="47"/>
      <c r="G37" s="76"/>
    </row>
    <row r="38" spans="1:7" ht="23.25" customHeight="1">
      <c r="A38" s="92"/>
      <c r="B38" s="99">
        <v>99</v>
      </c>
      <c r="C38" s="92" t="s">
        <v>141</v>
      </c>
      <c r="D38" s="65">
        <f>1000000*5+2880000*5</f>
        <v>19400000</v>
      </c>
      <c r="E38" s="94"/>
      <c r="F38" s="47"/>
      <c r="G38" s="76"/>
    </row>
    <row r="39" spans="1:7" ht="23.25" customHeight="1">
      <c r="A39" s="92"/>
      <c r="B39" s="99">
        <v>99</v>
      </c>
      <c r="C39" s="92" t="s">
        <v>142</v>
      </c>
      <c r="D39" s="65">
        <f>2880000*15</f>
        <v>43200000</v>
      </c>
      <c r="E39" s="94"/>
      <c r="F39" s="47"/>
      <c r="G39" s="76"/>
    </row>
    <row r="40" spans="1:7" s="69" customFormat="1" ht="25.5" customHeight="1">
      <c r="A40" s="87">
        <v>6600</v>
      </c>
      <c r="B40" s="88"/>
      <c r="C40" s="87" t="s">
        <v>76</v>
      </c>
      <c r="D40" s="89">
        <f>SUM(D41:D45)</f>
        <v>27320000</v>
      </c>
      <c r="E40" s="96"/>
      <c r="F40" s="49"/>
      <c r="G40" s="107"/>
    </row>
    <row r="41" spans="1:7" ht="23.25" customHeight="1">
      <c r="A41" s="92"/>
      <c r="B41" s="93" t="s">
        <v>113</v>
      </c>
      <c r="C41" s="92" t="s">
        <v>143</v>
      </c>
      <c r="D41" s="65">
        <f>150000*2*12</f>
        <v>3600000</v>
      </c>
      <c r="E41" s="94"/>
      <c r="F41" s="47"/>
      <c r="G41" s="95">
        <f>400*12</f>
        <v>4800</v>
      </c>
    </row>
    <row r="42" spans="1:7" ht="23.25" customHeight="1">
      <c r="A42" s="92"/>
      <c r="B42" s="93" t="s">
        <v>144</v>
      </c>
      <c r="C42" s="92" t="s">
        <v>145</v>
      </c>
      <c r="D42" s="65">
        <f>750000*4</f>
        <v>3000000</v>
      </c>
      <c r="E42" s="94"/>
      <c r="F42" s="47"/>
    </row>
    <row r="43" spans="1:7" ht="23.25" customHeight="1">
      <c r="A43" s="92"/>
      <c r="B43" s="93" t="s">
        <v>146</v>
      </c>
      <c r="C43" s="92" t="s">
        <v>147</v>
      </c>
      <c r="D43" s="65">
        <f>(660000)*12</f>
        <v>7920000</v>
      </c>
      <c r="E43" s="94"/>
      <c r="F43" s="47"/>
    </row>
    <row r="44" spans="1:7" ht="23.25" customHeight="1">
      <c r="A44" s="92"/>
      <c r="B44" s="99">
        <v>18</v>
      </c>
      <c r="C44" s="92" t="s">
        <v>148</v>
      </c>
      <c r="D44" s="65">
        <v>4800000</v>
      </c>
      <c r="E44" s="94"/>
      <c r="F44" s="47"/>
    </row>
    <row r="45" spans="1:7" ht="23.25" customHeight="1">
      <c r="A45" s="92"/>
      <c r="B45" s="99">
        <v>49</v>
      </c>
      <c r="C45" s="92" t="s">
        <v>149</v>
      </c>
      <c r="D45" s="65">
        <v>8000000</v>
      </c>
      <c r="E45" s="94"/>
      <c r="F45" s="47"/>
    </row>
    <row r="46" spans="1:7" s="69" customFormat="1" ht="23.25" customHeight="1">
      <c r="A46" s="87">
        <v>6700</v>
      </c>
      <c r="B46" s="88"/>
      <c r="C46" s="87" t="s">
        <v>77</v>
      </c>
      <c r="D46" s="89">
        <f>SUM(D47:D50)</f>
        <v>301000000</v>
      </c>
      <c r="E46" s="96"/>
      <c r="F46" s="49"/>
    </row>
    <row r="47" spans="1:7" ht="23.25" customHeight="1">
      <c r="A47" s="92"/>
      <c r="B47" s="93" t="s">
        <v>113</v>
      </c>
      <c r="C47" s="92" t="s">
        <v>150</v>
      </c>
      <c r="D47" s="65">
        <f>7000*14000</f>
        <v>98000000</v>
      </c>
      <c r="E47" s="94"/>
      <c r="F47" s="47"/>
      <c r="G47" s="95">
        <f>3900*13000</f>
        <v>50700000</v>
      </c>
    </row>
    <row r="48" spans="1:7" ht="23.25" customHeight="1">
      <c r="A48" s="92"/>
      <c r="B48" s="93" t="s">
        <v>125</v>
      </c>
      <c r="C48" s="92" t="s">
        <v>151</v>
      </c>
      <c r="D48" s="65">
        <f>3300*50000</f>
        <v>165000000</v>
      </c>
      <c r="E48" s="94"/>
      <c r="F48" s="47"/>
      <c r="G48" s="76">
        <f>3900*0.6*50000+3900*0.3*60000</f>
        <v>187200000</v>
      </c>
    </row>
    <row r="49" spans="1:7" ht="23.25" customHeight="1">
      <c r="A49" s="92"/>
      <c r="B49" s="93" t="s">
        <v>115</v>
      </c>
      <c r="C49" s="92" t="s">
        <v>152</v>
      </c>
      <c r="D49" s="65">
        <v>20000000</v>
      </c>
      <c r="E49" s="94"/>
      <c r="F49" s="47"/>
      <c r="G49" s="95">
        <f>D48/50000</f>
        <v>3300</v>
      </c>
    </row>
    <row r="50" spans="1:7" ht="25.5" customHeight="1">
      <c r="A50" s="92"/>
      <c r="B50" s="93" t="s">
        <v>128</v>
      </c>
      <c r="C50" s="92" t="s">
        <v>153</v>
      </c>
      <c r="D50" s="65">
        <f>500000*3*12</f>
        <v>18000000</v>
      </c>
      <c r="E50" s="94"/>
      <c r="F50" s="47"/>
      <c r="G50" s="73">
        <f>3900*0.4</f>
        <v>1560</v>
      </c>
    </row>
    <row r="51" spans="1:7" s="69" customFormat="1" ht="25.5" customHeight="1">
      <c r="A51" s="87">
        <v>6750</v>
      </c>
      <c r="B51" s="88"/>
      <c r="C51" s="87" t="s">
        <v>78</v>
      </c>
      <c r="D51" s="89">
        <f>SUM(D52:D59)</f>
        <v>199000000</v>
      </c>
      <c r="E51" s="96"/>
      <c r="F51" s="49"/>
      <c r="G51" s="69">
        <f>G50*50000</f>
        <v>78000000</v>
      </c>
    </row>
    <row r="52" spans="1:7" s="69" customFormat="1" ht="25.5" customHeight="1">
      <c r="A52" s="87"/>
      <c r="B52" s="99">
        <v>51</v>
      </c>
      <c r="C52" s="92" t="s">
        <v>154</v>
      </c>
      <c r="D52" s="65">
        <v>18000000</v>
      </c>
      <c r="E52" s="96"/>
      <c r="F52" s="49"/>
    </row>
    <row r="53" spans="1:7" s="69" customFormat="1" ht="25.5" customHeight="1">
      <c r="A53" s="87"/>
      <c r="B53" s="99">
        <v>51</v>
      </c>
      <c r="C53" s="92" t="s">
        <v>155</v>
      </c>
      <c r="D53" s="65">
        <v>20000000</v>
      </c>
      <c r="E53" s="96"/>
      <c r="F53" s="49"/>
    </row>
    <row r="54" spans="1:7" s="69" customFormat="1" ht="24.75" customHeight="1">
      <c r="A54" s="87"/>
      <c r="B54" s="99">
        <v>58</v>
      </c>
      <c r="C54" s="109" t="s">
        <v>156</v>
      </c>
      <c r="D54" s="65">
        <f>8000000</f>
        <v>8000000</v>
      </c>
      <c r="E54" s="96"/>
      <c r="F54" s="49"/>
    </row>
    <row r="55" spans="1:7" s="69" customFormat="1" ht="18.75" customHeight="1">
      <c r="A55" s="87"/>
      <c r="B55" s="99">
        <v>99</v>
      </c>
      <c r="C55" s="109" t="s">
        <v>157</v>
      </c>
      <c r="D55" s="65">
        <v>12000000</v>
      </c>
      <c r="E55" s="96"/>
      <c r="F55" s="49"/>
    </row>
    <row r="56" spans="1:7" s="69" customFormat="1" ht="41.25" customHeight="1">
      <c r="A56" s="87"/>
      <c r="B56" s="99">
        <v>99</v>
      </c>
      <c r="C56" s="109" t="s">
        <v>158</v>
      </c>
      <c r="D56" s="110">
        <v>22500000</v>
      </c>
      <c r="E56" s="96"/>
      <c r="F56" s="49"/>
    </row>
    <row r="57" spans="1:7" s="69" customFormat="1" ht="24.75" customHeight="1">
      <c r="A57" s="87"/>
      <c r="B57" s="99">
        <v>99</v>
      </c>
      <c r="C57" s="109" t="s">
        <v>159</v>
      </c>
      <c r="D57" s="65">
        <f>5*1500000*9</f>
        <v>67500000</v>
      </c>
      <c r="E57" s="96"/>
      <c r="F57" s="49"/>
    </row>
    <row r="58" spans="1:7" s="69" customFormat="1" ht="24.75" customHeight="1">
      <c r="A58" s="87"/>
      <c r="B58" s="99">
        <v>99</v>
      </c>
      <c r="C58" s="111" t="s">
        <v>160</v>
      </c>
      <c r="D58" s="65">
        <f>4000000*9</f>
        <v>36000000</v>
      </c>
      <c r="E58" s="96"/>
      <c r="F58" s="49"/>
    </row>
    <row r="59" spans="1:7" s="69" customFormat="1" ht="24.75" customHeight="1">
      <c r="A59" s="87"/>
      <c r="B59" s="99">
        <v>99</v>
      </c>
      <c r="C59" s="111" t="s">
        <v>161</v>
      </c>
      <c r="D59" s="65">
        <v>15000000</v>
      </c>
      <c r="E59" s="96"/>
      <c r="F59" s="49"/>
    </row>
    <row r="60" spans="1:7" s="69" customFormat="1" ht="25.5" customHeight="1">
      <c r="A60" s="87">
        <v>6900</v>
      </c>
      <c r="B60" s="88"/>
      <c r="C60" s="87" t="s">
        <v>162</v>
      </c>
      <c r="D60" s="89">
        <f>SUM(D61:D67)</f>
        <v>243100000</v>
      </c>
      <c r="E60" s="96"/>
      <c r="F60" s="49"/>
    </row>
    <row r="61" spans="1:7" s="91" customFormat="1" ht="25.5" customHeight="1">
      <c r="A61" s="87"/>
      <c r="B61" s="174" t="s">
        <v>256</v>
      </c>
      <c r="C61" s="173" t="s">
        <v>89</v>
      </c>
      <c r="D61" s="65">
        <v>42000000</v>
      </c>
      <c r="E61" s="96"/>
      <c r="F61" s="96"/>
    </row>
    <row r="62" spans="1:7" ht="37.5" customHeight="1">
      <c r="A62" s="92"/>
      <c r="B62" s="93" t="s">
        <v>119</v>
      </c>
      <c r="C62" s="112" t="s">
        <v>163</v>
      </c>
      <c r="D62" s="110">
        <v>51000000</v>
      </c>
      <c r="E62" s="94"/>
      <c r="F62" s="47"/>
    </row>
    <row r="63" spans="1:7" ht="23.25" customHeight="1">
      <c r="A63" s="92"/>
      <c r="B63" s="93">
        <v>13</v>
      </c>
      <c r="C63" s="112" t="s">
        <v>164</v>
      </c>
      <c r="D63" s="65">
        <v>20000000</v>
      </c>
      <c r="E63" s="94"/>
      <c r="F63" s="47"/>
    </row>
    <row r="64" spans="1:7" ht="23.25" customHeight="1">
      <c r="A64" s="92"/>
      <c r="B64" s="93">
        <v>16</v>
      </c>
      <c r="C64" s="112" t="s">
        <v>165</v>
      </c>
      <c r="D64" s="65">
        <v>20000000</v>
      </c>
      <c r="E64" s="94"/>
      <c r="F64" s="47"/>
    </row>
    <row r="65" spans="1:6" ht="23.25" customHeight="1">
      <c r="A65" s="92"/>
      <c r="B65" s="93">
        <v>21</v>
      </c>
      <c r="C65" s="112" t="s">
        <v>166</v>
      </c>
      <c r="D65" s="65">
        <v>35000000</v>
      </c>
      <c r="E65" s="94"/>
      <c r="F65" s="47"/>
    </row>
    <row r="66" spans="1:6" ht="23.25" customHeight="1">
      <c r="A66" s="92"/>
      <c r="B66" s="93">
        <v>49</v>
      </c>
      <c r="C66" s="112" t="s">
        <v>167</v>
      </c>
      <c r="D66" s="65">
        <v>30000000</v>
      </c>
      <c r="E66" s="94">
        <f>D66+D67</f>
        <v>75100000</v>
      </c>
      <c r="F66" s="47"/>
    </row>
    <row r="67" spans="1:6" ht="23.25" customHeight="1">
      <c r="A67" s="92"/>
      <c r="B67" s="93">
        <v>49</v>
      </c>
      <c r="C67" s="112" t="s">
        <v>168</v>
      </c>
      <c r="D67" s="65">
        <v>45100000</v>
      </c>
      <c r="E67" s="94"/>
      <c r="F67" s="47"/>
    </row>
    <row r="68" spans="1:6" s="69" customFormat="1" ht="23.25" customHeight="1">
      <c r="A68" s="87">
        <v>7000</v>
      </c>
      <c r="B68" s="88"/>
      <c r="C68" s="87" t="s">
        <v>59</v>
      </c>
      <c r="D68" s="89">
        <f>SUM(D69:D112)</f>
        <v>577256000</v>
      </c>
      <c r="E68" s="96"/>
      <c r="F68" s="49"/>
    </row>
    <row r="69" spans="1:6" ht="23.25" customHeight="1">
      <c r="A69" s="92"/>
      <c r="B69" s="93" t="s">
        <v>113</v>
      </c>
      <c r="C69" s="112" t="s">
        <v>169</v>
      </c>
      <c r="D69" s="65">
        <v>39804000</v>
      </c>
      <c r="E69" s="94"/>
      <c r="F69" s="47"/>
    </row>
    <row r="70" spans="1:6" ht="20.25" customHeight="1">
      <c r="A70" s="92"/>
      <c r="B70" s="93" t="s">
        <v>128</v>
      </c>
      <c r="C70" s="109" t="s">
        <v>170</v>
      </c>
      <c r="D70" s="65">
        <v>12000000</v>
      </c>
      <c r="E70" s="92"/>
      <c r="F70" s="113"/>
    </row>
    <row r="71" spans="1:6" ht="23.25" customHeight="1">
      <c r="A71" s="92"/>
      <c r="B71" s="93" t="s">
        <v>171</v>
      </c>
      <c r="C71" s="109" t="s">
        <v>172</v>
      </c>
      <c r="D71" s="65">
        <v>30000000</v>
      </c>
      <c r="E71" s="114"/>
      <c r="F71" s="113"/>
    </row>
    <row r="72" spans="1:6" ht="24.75" customHeight="1">
      <c r="A72" s="92"/>
      <c r="B72" s="99">
        <v>49</v>
      </c>
      <c r="C72" s="111" t="s">
        <v>173</v>
      </c>
      <c r="D72" s="65">
        <f>1100*5000+12*200000+250000</f>
        <v>8150000</v>
      </c>
      <c r="E72" s="94"/>
      <c r="F72" s="47"/>
    </row>
    <row r="73" spans="1:6" ht="21.75" customHeight="1">
      <c r="A73" s="92"/>
      <c r="B73" s="99">
        <v>49</v>
      </c>
      <c r="C73" s="109" t="s">
        <v>174</v>
      </c>
      <c r="D73" s="65">
        <v>14000000</v>
      </c>
      <c r="E73" s="94"/>
      <c r="F73" s="47"/>
    </row>
    <row r="74" spans="1:6" ht="21.75" customHeight="1">
      <c r="A74" s="92"/>
      <c r="B74" s="99">
        <v>49</v>
      </c>
      <c r="C74" s="109" t="s">
        <v>175</v>
      </c>
      <c r="D74" s="65">
        <v>6000000</v>
      </c>
      <c r="E74" s="94"/>
      <c r="F74" s="47"/>
    </row>
    <row r="75" spans="1:6" ht="22.5" customHeight="1">
      <c r="A75" s="92"/>
      <c r="B75" s="99">
        <v>49</v>
      </c>
      <c r="C75" s="109" t="s">
        <v>176</v>
      </c>
      <c r="D75" s="65">
        <v>6000000</v>
      </c>
      <c r="E75" s="94"/>
      <c r="F75" s="47"/>
    </row>
    <row r="76" spans="1:6" ht="24" customHeight="1">
      <c r="A76" s="92"/>
      <c r="B76" s="99">
        <v>49</v>
      </c>
      <c r="C76" s="109" t="s">
        <v>177</v>
      </c>
      <c r="D76" s="65">
        <v>48730000</v>
      </c>
      <c r="E76" s="94"/>
      <c r="F76" s="47"/>
    </row>
    <row r="77" spans="1:6" ht="43.5" customHeight="1">
      <c r="A77" s="92"/>
      <c r="B77" s="99">
        <v>49</v>
      </c>
      <c r="C77" s="115" t="s">
        <v>178</v>
      </c>
      <c r="D77" s="65">
        <f>1500000*9</f>
        <v>13500000</v>
      </c>
      <c r="E77" s="94"/>
      <c r="F77" s="47"/>
    </row>
    <row r="78" spans="1:6" ht="51" customHeight="1">
      <c r="A78" s="92"/>
      <c r="B78" s="99">
        <v>49</v>
      </c>
      <c r="C78" s="116" t="s">
        <v>179</v>
      </c>
      <c r="D78" s="110">
        <v>3200000</v>
      </c>
      <c r="E78" s="94"/>
      <c r="F78" s="47"/>
    </row>
    <row r="79" spans="1:6" ht="24.75" customHeight="1">
      <c r="A79" s="92"/>
      <c r="B79" s="99">
        <v>49</v>
      </c>
      <c r="C79" s="115" t="s">
        <v>180</v>
      </c>
      <c r="D79" s="65">
        <v>8000000</v>
      </c>
      <c r="E79" s="94"/>
      <c r="F79" s="47"/>
    </row>
    <row r="80" spans="1:6" ht="36" customHeight="1">
      <c r="A80" s="92"/>
      <c r="B80" s="99">
        <v>49</v>
      </c>
      <c r="C80" s="116" t="s">
        <v>181</v>
      </c>
      <c r="D80" s="110">
        <f>12*400000</f>
        <v>4800000</v>
      </c>
      <c r="E80" s="94"/>
      <c r="F80" s="47"/>
    </row>
    <row r="81" spans="1:6" ht="42" customHeight="1">
      <c r="A81" s="92"/>
      <c r="B81" s="99">
        <v>49</v>
      </c>
      <c r="C81" s="115" t="s">
        <v>182</v>
      </c>
      <c r="D81" s="110">
        <v>3000000</v>
      </c>
      <c r="E81" s="94"/>
      <c r="F81" s="47"/>
    </row>
    <row r="82" spans="1:6" ht="45.75" customHeight="1">
      <c r="A82" s="92"/>
      <c r="B82" s="99">
        <v>49</v>
      </c>
      <c r="C82" s="115" t="s">
        <v>183</v>
      </c>
      <c r="D82" s="110">
        <f>2800000</f>
        <v>2800000</v>
      </c>
      <c r="E82" s="94"/>
      <c r="F82" s="47"/>
    </row>
    <row r="83" spans="1:6" ht="41.25" customHeight="1">
      <c r="A83" s="92"/>
      <c r="B83" s="99">
        <v>49</v>
      </c>
      <c r="C83" s="115" t="s">
        <v>184</v>
      </c>
      <c r="D83" s="110">
        <f>2500000*9</f>
        <v>22500000</v>
      </c>
      <c r="E83" s="94"/>
      <c r="F83" s="47"/>
    </row>
    <row r="84" spans="1:6" ht="60" customHeight="1">
      <c r="A84" s="92"/>
      <c r="B84" s="99">
        <v>49</v>
      </c>
      <c r="C84" s="115" t="s">
        <v>185</v>
      </c>
      <c r="D84" s="110">
        <v>10000000</v>
      </c>
      <c r="E84" s="94"/>
      <c r="F84" s="47"/>
    </row>
    <row r="85" spans="1:6" ht="62.25" customHeight="1">
      <c r="A85" s="92"/>
      <c r="B85" s="99">
        <v>49</v>
      </c>
      <c r="C85" s="115" t="s">
        <v>186</v>
      </c>
      <c r="D85" s="110">
        <v>6000000</v>
      </c>
      <c r="E85" s="94"/>
      <c r="F85" s="47"/>
    </row>
    <row r="86" spans="1:6" ht="20.25" customHeight="1">
      <c r="A86" s="92"/>
      <c r="B86" s="99">
        <v>49</v>
      </c>
      <c r="C86" s="116" t="s">
        <v>187</v>
      </c>
      <c r="D86" s="65">
        <v>1200000</v>
      </c>
      <c r="E86" s="94"/>
      <c r="F86" s="47"/>
    </row>
    <row r="87" spans="1:6" ht="20.25" customHeight="1">
      <c r="A87" s="92"/>
      <c r="B87" s="99">
        <v>49</v>
      </c>
      <c r="C87" s="116" t="s">
        <v>188</v>
      </c>
      <c r="D87" s="65">
        <v>700000</v>
      </c>
      <c r="E87" s="94"/>
      <c r="F87" s="47"/>
    </row>
    <row r="88" spans="1:6" ht="20.25" customHeight="1">
      <c r="A88" s="92"/>
      <c r="B88" s="99">
        <v>49</v>
      </c>
      <c r="C88" s="115" t="s">
        <v>189</v>
      </c>
      <c r="D88" s="65">
        <v>350000</v>
      </c>
      <c r="E88" s="94"/>
      <c r="F88" s="47"/>
    </row>
    <row r="89" spans="1:6" ht="20.25" customHeight="1">
      <c r="A89" s="92"/>
      <c r="B89" s="99">
        <v>49</v>
      </c>
      <c r="C89" s="115" t="s">
        <v>190</v>
      </c>
      <c r="D89" s="65">
        <v>100000</v>
      </c>
      <c r="E89" s="94"/>
      <c r="F89" s="47"/>
    </row>
    <row r="90" spans="1:6" ht="20.25" customHeight="1">
      <c r="A90" s="92"/>
      <c r="B90" s="99">
        <v>49</v>
      </c>
      <c r="C90" s="115" t="s">
        <v>191</v>
      </c>
      <c r="D90" s="65">
        <v>350000</v>
      </c>
      <c r="E90" s="94"/>
      <c r="F90" s="47"/>
    </row>
    <row r="91" spans="1:6" ht="20.25" customHeight="1">
      <c r="A91" s="92"/>
      <c r="B91" s="99">
        <v>49</v>
      </c>
      <c r="C91" s="115" t="s">
        <v>192</v>
      </c>
      <c r="D91" s="65">
        <f>12*2*70000</f>
        <v>1680000</v>
      </c>
      <c r="E91" s="94"/>
      <c r="F91" s="47"/>
    </row>
    <row r="92" spans="1:6" ht="20.25" customHeight="1">
      <c r="A92" s="92"/>
      <c r="B92" s="99">
        <v>49</v>
      </c>
      <c r="C92" s="115" t="s">
        <v>193</v>
      </c>
      <c r="D92" s="65">
        <f>20*70000</f>
        <v>1400000</v>
      </c>
      <c r="E92" s="94"/>
      <c r="F92" s="47"/>
    </row>
    <row r="93" spans="1:6" ht="20.25" customHeight="1">
      <c r="A93" s="92"/>
      <c r="B93" s="99">
        <v>49</v>
      </c>
      <c r="C93" s="115" t="s">
        <v>194</v>
      </c>
      <c r="D93" s="65">
        <v>140000</v>
      </c>
      <c r="E93" s="94"/>
      <c r="F93" s="47"/>
    </row>
    <row r="94" spans="1:6" ht="20.25" customHeight="1">
      <c r="A94" s="92"/>
      <c r="B94" s="99">
        <v>49</v>
      </c>
      <c r="C94" s="115" t="s">
        <v>195</v>
      </c>
      <c r="D94" s="65">
        <v>350000</v>
      </c>
      <c r="E94" s="94"/>
      <c r="F94" s="47"/>
    </row>
    <row r="95" spans="1:6" ht="20.25" customHeight="1">
      <c r="A95" s="92"/>
      <c r="B95" s="99">
        <v>49</v>
      </c>
      <c r="C95" s="115" t="s">
        <v>196</v>
      </c>
      <c r="D95" s="65">
        <v>1500000</v>
      </c>
      <c r="E95" s="94"/>
      <c r="F95" s="47"/>
    </row>
    <row r="96" spans="1:6" ht="23.25" customHeight="1">
      <c r="A96" s="92"/>
      <c r="B96" s="99">
        <v>49</v>
      </c>
      <c r="C96" s="115" t="s">
        <v>197</v>
      </c>
      <c r="D96" s="65">
        <v>1500000</v>
      </c>
      <c r="E96" s="94"/>
      <c r="F96" s="47"/>
    </row>
    <row r="97" spans="1:6" ht="23.25" customHeight="1">
      <c r="A97" s="92"/>
      <c r="B97" s="99">
        <v>49</v>
      </c>
      <c r="C97" s="115" t="s">
        <v>198</v>
      </c>
      <c r="D97" s="65">
        <v>1500000</v>
      </c>
      <c r="E97" s="94"/>
      <c r="F97" s="47"/>
    </row>
    <row r="98" spans="1:6" ht="23.25" customHeight="1">
      <c r="A98" s="92"/>
      <c r="B98" s="99">
        <v>49</v>
      </c>
      <c r="C98" s="115" t="s">
        <v>199</v>
      </c>
      <c r="D98" s="65">
        <v>700000</v>
      </c>
      <c r="E98" s="94"/>
      <c r="F98" s="47"/>
    </row>
    <row r="99" spans="1:6" ht="23.25" customHeight="1">
      <c r="A99" s="92"/>
      <c r="B99" s="99">
        <v>49</v>
      </c>
      <c r="C99" s="115" t="s">
        <v>200</v>
      </c>
      <c r="D99" s="65">
        <v>21000000</v>
      </c>
      <c r="E99" s="94"/>
      <c r="F99" s="47"/>
    </row>
    <row r="100" spans="1:6" ht="43.5" customHeight="1">
      <c r="A100" s="92"/>
      <c r="B100" s="99">
        <v>49</v>
      </c>
      <c r="C100" s="115" t="s">
        <v>201</v>
      </c>
      <c r="D100" s="110">
        <v>700000</v>
      </c>
      <c r="E100" s="94"/>
      <c r="F100" s="47"/>
    </row>
    <row r="101" spans="1:6" ht="42" customHeight="1">
      <c r="A101" s="92"/>
      <c r="B101" s="99">
        <v>49</v>
      </c>
      <c r="C101" s="115" t="s">
        <v>202</v>
      </c>
      <c r="D101" s="110">
        <f>220000*40*3</f>
        <v>26400000</v>
      </c>
      <c r="E101" s="94"/>
      <c r="F101" s="47"/>
    </row>
    <row r="102" spans="1:6" ht="26.25" customHeight="1">
      <c r="A102" s="92"/>
      <c r="B102" s="99">
        <v>49</v>
      </c>
      <c r="C102" s="115" t="s">
        <v>203</v>
      </c>
      <c r="D102" s="65">
        <v>5000000</v>
      </c>
      <c r="E102" s="94"/>
      <c r="F102" s="47"/>
    </row>
    <row r="103" spans="1:6" ht="26.25" customHeight="1">
      <c r="A103" s="92"/>
      <c r="B103" s="99">
        <v>49</v>
      </c>
      <c r="C103" s="115" t="s">
        <v>204</v>
      </c>
      <c r="D103" s="65">
        <v>4000000</v>
      </c>
      <c r="E103" s="94"/>
      <c r="F103" s="47"/>
    </row>
    <row r="104" spans="1:6" ht="19.5" customHeight="1">
      <c r="A104" s="92"/>
      <c r="B104" s="99">
        <v>49</v>
      </c>
      <c r="C104" s="117" t="s">
        <v>205</v>
      </c>
      <c r="D104" s="65">
        <v>6000000</v>
      </c>
      <c r="E104" s="94"/>
      <c r="F104" s="47"/>
    </row>
    <row r="105" spans="1:6" ht="19.5" customHeight="1">
      <c r="A105" s="92"/>
      <c r="B105" s="99">
        <v>49</v>
      </c>
      <c r="C105" s="115" t="s">
        <v>206</v>
      </c>
      <c r="D105" s="65">
        <f>1400*59000</f>
        <v>82600000</v>
      </c>
      <c r="E105" s="94"/>
      <c r="F105" s="47"/>
    </row>
    <row r="106" spans="1:6" ht="19.5" customHeight="1">
      <c r="A106" s="92"/>
      <c r="B106" s="99">
        <v>49</v>
      </c>
      <c r="C106" s="115" t="s">
        <v>207</v>
      </c>
      <c r="D106" s="65">
        <v>4000000</v>
      </c>
      <c r="E106" s="94"/>
      <c r="F106" s="47"/>
    </row>
    <row r="107" spans="1:6" ht="19.5" customHeight="1">
      <c r="A107" s="92"/>
      <c r="B107" s="99">
        <v>49</v>
      </c>
      <c r="C107" s="115" t="s">
        <v>208</v>
      </c>
      <c r="D107" s="65">
        <v>4000000</v>
      </c>
      <c r="E107" s="94"/>
      <c r="F107" s="47"/>
    </row>
    <row r="108" spans="1:6" ht="19.5" customHeight="1">
      <c r="A108" s="92"/>
      <c r="B108" s="99">
        <v>49</v>
      </c>
      <c r="C108" s="116" t="s">
        <v>209</v>
      </c>
      <c r="D108" s="65">
        <f>29*200000+1500000</f>
        <v>7300000</v>
      </c>
      <c r="E108" s="94"/>
      <c r="F108" s="47"/>
    </row>
    <row r="109" spans="1:6" ht="19.5" customHeight="1">
      <c r="A109" s="92"/>
      <c r="B109" s="99">
        <v>49</v>
      </c>
      <c r="C109" s="116" t="s">
        <v>210</v>
      </c>
      <c r="D109" s="65">
        <f>29*200000+1500000</f>
        <v>7300000</v>
      </c>
      <c r="E109" s="94"/>
      <c r="F109" s="47"/>
    </row>
    <row r="110" spans="1:6" ht="19.5" customHeight="1">
      <c r="A110" s="92"/>
      <c r="B110" s="99">
        <v>49</v>
      </c>
      <c r="C110" s="116" t="s">
        <v>211</v>
      </c>
      <c r="D110" s="65">
        <v>5002000</v>
      </c>
      <c r="E110" s="94"/>
      <c r="F110" s="47"/>
    </row>
    <row r="111" spans="1:6" ht="42" customHeight="1">
      <c r="A111" s="92"/>
      <c r="B111" s="99">
        <v>49</v>
      </c>
      <c r="C111" s="116" t="s">
        <v>212</v>
      </c>
      <c r="D111" s="110">
        <f>4*1200000*10*3</f>
        <v>144000000</v>
      </c>
      <c r="E111" s="94"/>
      <c r="F111" s="47"/>
    </row>
    <row r="112" spans="1:6" ht="19.5" customHeight="1">
      <c r="A112" s="92"/>
      <c r="B112" s="99">
        <v>49</v>
      </c>
      <c r="C112" s="115" t="s">
        <v>213</v>
      </c>
      <c r="D112" s="65">
        <v>10000000</v>
      </c>
      <c r="E112" s="94"/>
      <c r="F112" s="47"/>
    </row>
    <row r="113" spans="1:8" s="123" customFormat="1" ht="19.5" customHeight="1">
      <c r="A113" s="118"/>
      <c r="B113" s="119"/>
      <c r="C113" s="120" t="s">
        <v>54</v>
      </c>
      <c r="D113" s="101">
        <f>D114</f>
        <v>158594400</v>
      </c>
      <c r="E113" s="121"/>
      <c r="F113" s="122"/>
    </row>
    <row r="114" spans="1:8" s="69" customFormat="1" ht="20.25" customHeight="1">
      <c r="A114" s="87">
        <v>7799</v>
      </c>
      <c r="B114" s="88"/>
      <c r="C114" s="124" t="s">
        <v>54</v>
      </c>
      <c r="D114" s="89">
        <f>SUM(D115:D122)</f>
        <v>158594400</v>
      </c>
      <c r="E114" s="96"/>
      <c r="F114" s="49"/>
    </row>
    <row r="115" spans="1:8" ht="20.25" customHeight="1">
      <c r="A115" s="92"/>
      <c r="B115" s="99">
        <v>56</v>
      </c>
      <c r="C115" s="92" t="s">
        <v>214</v>
      </c>
      <c r="D115" s="65">
        <f>78*2200*12</f>
        <v>2059200</v>
      </c>
      <c r="E115" s="94"/>
      <c r="F115" s="47"/>
    </row>
    <row r="116" spans="1:8" ht="20.25" customHeight="1">
      <c r="A116" s="92"/>
      <c r="B116" s="93">
        <v>61</v>
      </c>
      <c r="C116" s="109" t="s">
        <v>215</v>
      </c>
      <c r="D116" s="65">
        <v>20000000</v>
      </c>
      <c r="E116" s="94"/>
      <c r="F116" s="47"/>
    </row>
    <row r="117" spans="1:8" ht="20.25" customHeight="1">
      <c r="A117" s="92"/>
      <c r="B117" s="93">
        <v>61</v>
      </c>
      <c r="C117" s="109" t="s">
        <v>216</v>
      </c>
      <c r="D117" s="65">
        <v>16000000</v>
      </c>
      <c r="E117" s="94"/>
      <c r="F117" s="47"/>
    </row>
    <row r="118" spans="1:8" ht="20.25" customHeight="1">
      <c r="A118" s="315"/>
      <c r="B118" s="315">
        <v>64</v>
      </c>
      <c r="C118" s="92" t="s">
        <v>217</v>
      </c>
      <c r="D118" s="65">
        <f>200000*37*2+0.6*2*1210000</f>
        <v>16252000</v>
      </c>
      <c r="E118" s="114">
        <f>D118+D119</f>
        <v>63127000</v>
      </c>
      <c r="F118" s="113"/>
    </row>
    <row r="119" spans="1:8" ht="20.25" customHeight="1">
      <c r="A119" s="316"/>
      <c r="B119" s="316"/>
      <c r="C119" s="125" t="s">
        <v>218</v>
      </c>
      <c r="D119" s="65">
        <v>46875000</v>
      </c>
      <c r="E119" s="92"/>
      <c r="F119" s="113"/>
    </row>
    <row r="120" spans="1:8" ht="20.25" customHeight="1">
      <c r="A120" s="92"/>
      <c r="B120" s="93">
        <v>99</v>
      </c>
      <c r="C120" s="92" t="s">
        <v>219</v>
      </c>
      <c r="D120" s="65">
        <f>37*200000</f>
        <v>7400000</v>
      </c>
      <c r="E120" s="94"/>
      <c r="F120" s="47"/>
    </row>
    <row r="121" spans="1:8" ht="20.25" customHeight="1">
      <c r="A121" s="92"/>
      <c r="B121" s="93">
        <v>99</v>
      </c>
      <c r="C121" s="92" t="s">
        <v>220</v>
      </c>
      <c r="D121" s="65">
        <v>40000000</v>
      </c>
      <c r="E121" s="94"/>
      <c r="F121" s="47"/>
    </row>
    <row r="122" spans="1:8" ht="20.25" customHeight="1">
      <c r="A122" s="92"/>
      <c r="B122" s="93">
        <v>99</v>
      </c>
      <c r="C122" s="92" t="s">
        <v>221</v>
      </c>
      <c r="D122" s="65">
        <f>4500000+5508200</f>
        <v>10008200</v>
      </c>
      <c r="E122" s="94"/>
      <c r="F122" s="47"/>
    </row>
    <row r="123" spans="1:8" s="69" customFormat="1" ht="20.25" customHeight="1">
      <c r="A123" s="87">
        <v>7850</v>
      </c>
      <c r="B123" s="106"/>
      <c r="C123" s="87" t="s">
        <v>222</v>
      </c>
      <c r="D123" s="89">
        <f>D124</f>
        <v>600000</v>
      </c>
      <c r="E123" s="96"/>
      <c r="F123" s="49"/>
      <c r="G123" s="107"/>
    </row>
    <row r="124" spans="1:8" ht="20.25" customHeight="1">
      <c r="A124" s="92"/>
      <c r="B124" s="93">
        <v>99</v>
      </c>
      <c r="C124" s="92" t="s">
        <v>223</v>
      </c>
      <c r="D124" s="65">
        <v>600000</v>
      </c>
      <c r="E124" s="94"/>
      <c r="F124" s="47"/>
      <c r="G124" s="76"/>
    </row>
    <row r="125" spans="1:8" s="130" customFormat="1" ht="20.25" hidden="1" customHeight="1">
      <c r="A125" s="126"/>
      <c r="B125" s="127"/>
      <c r="C125" s="126" t="s">
        <v>224</v>
      </c>
      <c r="D125" s="128">
        <f>D123+D114+D68+D60+D51+D46+D40+D32+D28+D26+D20+D14+D10</f>
        <v>9533471269.723999</v>
      </c>
      <c r="E125" s="129"/>
      <c r="F125" s="68"/>
    </row>
    <row r="126" spans="1:8" s="130" customFormat="1" ht="24.75" customHeight="1">
      <c r="A126" s="317" t="s">
        <v>225</v>
      </c>
      <c r="B126" s="318"/>
      <c r="C126" s="131" t="s">
        <v>226</v>
      </c>
      <c r="D126" s="132">
        <v>132632700</v>
      </c>
      <c r="E126" s="133"/>
      <c r="F126" s="134"/>
      <c r="G126" s="135"/>
      <c r="H126" s="135"/>
    </row>
    <row r="127" spans="1:8" s="141" customFormat="1" ht="28.5" customHeight="1">
      <c r="A127" s="319" t="s">
        <v>227</v>
      </c>
      <c r="B127" s="319"/>
      <c r="C127" s="136" t="s">
        <v>228</v>
      </c>
      <c r="D127" s="137">
        <f>D128+D133+D135+D137+D140+D142+D153</f>
        <v>1121687930.0999999</v>
      </c>
      <c r="E127" s="138"/>
      <c r="F127" s="139"/>
      <c r="G127" s="140"/>
      <c r="H127" s="140"/>
    </row>
    <row r="128" spans="1:8" s="141" customFormat="1" ht="18.75" customHeight="1">
      <c r="A128" s="87">
        <v>6300</v>
      </c>
      <c r="B128" s="88"/>
      <c r="C128" s="87" t="s">
        <v>72</v>
      </c>
      <c r="D128" s="142">
        <f>SUM(D129:D132)</f>
        <v>25225464</v>
      </c>
      <c r="E128" s="138"/>
      <c r="F128" s="139"/>
      <c r="G128" s="140"/>
      <c r="H128" s="140"/>
    </row>
    <row r="129" spans="1:8" s="141" customFormat="1" ht="18.75" customHeight="1">
      <c r="A129" s="92"/>
      <c r="B129" s="93" t="s">
        <v>113</v>
      </c>
      <c r="C129" s="92" t="s">
        <v>229</v>
      </c>
      <c r="D129" s="143">
        <f>D138*17.5%</f>
        <v>18784920</v>
      </c>
      <c r="E129" s="138"/>
      <c r="F129" s="139"/>
      <c r="G129" s="140"/>
      <c r="H129" s="140"/>
    </row>
    <row r="130" spans="1:8" s="141" customFormat="1" ht="18.75" customHeight="1">
      <c r="A130" s="92"/>
      <c r="B130" s="93" t="s">
        <v>125</v>
      </c>
      <c r="C130" s="92" t="s">
        <v>230</v>
      </c>
      <c r="D130" s="143">
        <f>D138*3%</f>
        <v>3220272</v>
      </c>
      <c r="E130" s="138"/>
      <c r="F130" s="139"/>
      <c r="G130" s="140"/>
      <c r="H130" s="140"/>
    </row>
    <row r="131" spans="1:8" s="141" customFormat="1" ht="18.75" customHeight="1">
      <c r="A131" s="92"/>
      <c r="B131" s="93" t="s">
        <v>115</v>
      </c>
      <c r="C131" s="92" t="s">
        <v>231</v>
      </c>
      <c r="D131" s="143">
        <f>D138*2%</f>
        <v>2146848</v>
      </c>
      <c r="E131" s="138"/>
      <c r="F131" s="139"/>
      <c r="G131" s="140"/>
      <c r="H131" s="140"/>
    </row>
    <row r="132" spans="1:8" s="141" customFormat="1" ht="18.75" customHeight="1">
      <c r="A132" s="92"/>
      <c r="B132" s="93" t="s">
        <v>128</v>
      </c>
      <c r="C132" s="92" t="s">
        <v>232</v>
      </c>
      <c r="D132" s="143">
        <f>D138*1%</f>
        <v>1073424</v>
      </c>
      <c r="E132" s="138"/>
      <c r="F132" s="139"/>
      <c r="G132" s="140"/>
      <c r="H132" s="140"/>
    </row>
    <row r="133" spans="1:8" s="145" customFormat="1" ht="19.5" customHeight="1">
      <c r="A133" s="87">
        <v>6100</v>
      </c>
      <c r="B133" s="88"/>
      <c r="C133" s="87" t="s">
        <v>73</v>
      </c>
      <c r="D133" s="89">
        <f>SUM(D134)</f>
        <v>39600000</v>
      </c>
      <c r="E133" s="92"/>
      <c r="F133" s="144"/>
    </row>
    <row r="134" spans="1:8" ht="19.5" customHeight="1">
      <c r="A134" s="92"/>
      <c r="B134" s="93">
        <v>57</v>
      </c>
      <c r="C134" s="65" t="s">
        <v>233</v>
      </c>
      <c r="D134" s="146">
        <v>39600000</v>
      </c>
      <c r="E134" s="114"/>
      <c r="F134" s="147"/>
      <c r="G134" s="95"/>
    </row>
    <row r="135" spans="1:8" s="69" customFormat="1" ht="19.5" customHeight="1">
      <c r="A135" s="87">
        <v>6550</v>
      </c>
      <c r="B135" s="106"/>
      <c r="C135" s="89" t="s">
        <v>75</v>
      </c>
      <c r="D135" s="148">
        <f>D136</f>
        <v>35000000</v>
      </c>
      <c r="E135" s="149"/>
      <c r="F135" s="150"/>
      <c r="G135" s="97"/>
    </row>
    <row r="136" spans="1:8" ht="19.5" customHeight="1">
      <c r="A136" s="92"/>
      <c r="B136" s="93">
        <v>52</v>
      </c>
      <c r="C136" s="65" t="s">
        <v>234</v>
      </c>
      <c r="D136" s="146">
        <v>35000000</v>
      </c>
      <c r="E136" s="114"/>
      <c r="F136" s="147"/>
      <c r="G136" s="95"/>
    </row>
    <row r="137" spans="1:8" s="69" customFormat="1" ht="21" customHeight="1">
      <c r="A137" s="87">
        <v>6750</v>
      </c>
      <c r="B137" s="106"/>
      <c r="C137" s="87" t="s">
        <v>235</v>
      </c>
      <c r="D137" s="89">
        <f>SUM(D138:D139)</f>
        <v>257342400</v>
      </c>
      <c r="E137" s="149"/>
      <c r="F137" s="151"/>
      <c r="G137" s="97"/>
    </row>
    <row r="138" spans="1:8" ht="21" customHeight="1">
      <c r="A138" s="92"/>
      <c r="B138" s="93">
        <v>57</v>
      </c>
      <c r="C138" s="92" t="s">
        <v>236</v>
      </c>
      <c r="D138" s="146">
        <f>(4180000*107%*2*12)</f>
        <v>107342400</v>
      </c>
      <c r="E138" s="114"/>
      <c r="F138" s="147"/>
      <c r="G138" s="95"/>
    </row>
    <row r="139" spans="1:8" ht="21" customHeight="1">
      <c r="A139" s="92"/>
      <c r="B139" s="93">
        <v>58</v>
      </c>
      <c r="C139" s="92" t="s">
        <v>79</v>
      </c>
      <c r="D139" s="146">
        <v>150000000</v>
      </c>
      <c r="E139" s="92"/>
      <c r="F139" s="113"/>
    </row>
    <row r="140" spans="1:8" s="69" customFormat="1" ht="21" customHeight="1">
      <c r="A140" s="88">
        <v>7000</v>
      </c>
      <c r="B140" s="88"/>
      <c r="C140" s="89" t="s">
        <v>237</v>
      </c>
      <c r="D140" s="152">
        <f>D141</f>
        <v>1800000</v>
      </c>
      <c r="E140" s="87"/>
      <c r="F140" s="151"/>
    </row>
    <row r="141" spans="1:8" ht="21" customHeight="1">
      <c r="A141" s="99"/>
      <c r="B141" s="93" t="s">
        <v>128</v>
      </c>
      <c r="C141" s="65" t="s">
        <v>238</v>
      </c>
      <c r="D141" s="153">
        <v>1800000</v>
      </c>
      <c r="E141" s="92"/>
      <c r="F141" s="147"/>
    </row>
    <row r="142" spans="1:8" ht="21" customHeight="1">
      <c r="A142" s="87">
        <v>6400</v>
      </c>
      <c r="B142" s="88"/>
      <c r="C142" s="87" t="s">
        <v>239</v>
      </c>
      <c r="D142" s="89">
        <f>SUM(D143:D152)</f>
        <v>514185530.10000002</v>
      </c>
      <c r="E142" s="92"/>
      <c r="F142" s="113"/>
    </row>
    <row r="143" spans="1:8" ht="23.25" customHeight="1">
      <c r="A143" s="92"/>
      <c r="B143" s="93">
        <v>49</v>
      </c>
      <c r="C143" s="65" t="s">
        <v>81</v>
      </c>
      <c r="D143" s="65">
        <v>134327000</v>
      </c>
      <c r="E143" s="114"/>
      <c r="F143" s="147"/>
      <c r="G143" s="95"/>
    </row>
    <row r="144" spans="1:8" ht="23.25" customHeight="1">
      <c r="A144" s="92"/>
      <c r="B144" s="93">
        <v>49</v>
      </c>
      <c r="C144" s="92" t="s">
        <v>240</v>
      </c>
      <c r="D144" s="146">
        <f>10.83972*1390000*12+0.5</f>
        <v>180806530.09999999</v>
      </c>
      <c r="E144" s="154"/>
      <c r="F144" s="147"/>
      <c r="G144" s="95"/>
    </row>
    <row r="145" spans="1:7" ht="23.25" customHeight="1">
      <c r="A145" s="92"/>
      <c r="B145" s="93">
        <v>49</v>
      </c>
      <c r="C145" s="92" t="s">
        <v>241</v>
      </c>
      <c r="D145" s="146">
        <f>0.1*1390000*12</f>
        <v>1668000</v>
      </c>
      <c r="E145" s="114"/>
      <c r="F145" s="147"/>
      <c r="G145" s="95"/>
    </row>
    <row r="146" spans="1:7" ht="23.25" customHeight="1">
      <c r="A146" s="92"/>
      <c r="B146" s="93">
        <v>49</v>
      </c>
      <c r="C146" s="112" t="s">
        <v>242</v>
      </c>
      <c r="D146" s="155">
        <v>21600000</v>
      </c>
      <c r="E146" s="114"/>
      <c r="F146" s="147"/>
    </row>
    <row r="147" spans="1:7" ht="23.25" customHeight="1">
      <c r="A147" s="92"/>
      <c r="B147" s="93">
        <v>49</v>
      </c>
      <c r="C147" s="156" t="s">
        <v>243</v>
      </c>
      <c r="D147" s="155">
        <v>12000000</v>
      </c>
      <c r="E147" s="114"/>
      <c r="F147" s="147"/>
    </row>
    <row r="148" spans="1:7" ht="23.25" customHeight="1">
      <c r="A148" s="156"/>
      <c r="B148" s="93">
        <v>49</v>
      </c>
      <c r="C148" s="157" t="s">
        <v>244</v>
      </c>
      <c r="D148" s="146">
        <v>93408000</v>
      </c>
      <c r="E148" s="92"/>
      <c r="F148" s="147"/>
      <c r="G148" s="95"/>
    </row>
    <row r="149" spans="1:7" ht="23.25" customHeight="1">
      <c r="A149" s="156"/>
      <c r="B149" s="93">
        <v>49</v>
      </c>
      <c r="C149" s="157" t="s">
        <v>245</v>
      </c>
      <c r="D149" s="146">
        <v>1800000</v>
      </c>
      <c r="E149" s="114"/>
      <c r="F149" s="147"/>
    </row>
    <row r="150" spans="1:7" ht="21.75" customHeight="1">
      <c r="A150" s="156"/>
      <c r="B150" s="93">
        <v>49</v>
      </c>
      <c r="C150" s="65" t="s">
        <v>246</v>
      </c>
      <c r="D150" s="65">
        <f>0.2*1390000*12</f>
        <v>3336000</v>
      </c>
      <c r="E150" s="92"/>
      <c r="F150" s="147"/>
    </row>
    <row r="151" spans="1:7" ht="21.75" customHeight="1">
      <c r="A151" s="156"/>
      <c r="B151" s="93"/>
      <c r="C151" s="65" t="s">
        <v>247</v>
      </c>
      <c r="D151" s="65">
        <f>1.5*1390000*2*12</f>
        <v>50040000</v>
      </c>
      <c r="E151" s="92"/>
      <c r="F151" s="147"/>
    </row>
    <row r="152" spans="1:7" ht="21.75" customHeight="1">
      <c r="A152" s="156"/>
      <c r="B152" s="93">
        <v>49</v>
      </c>
      <c r="C152" s="65" t="s">
        <v>248</v>
      </c>
      <c r="D152" s="146">
        <v>15200000</v>
      </c>
      <c r="E152" s="114"/>
      <c r="F152" s="147"/>
    </row>
    <row r="153" spans="1:7" s="69" customFormat="1" ht="21.75" customHeight="1">
      <c r="A153" s="87">
        <v>7750</v>
      </c>
      <c r="B153" s="158"/>
      <c r="C153" s="89" t="s">
        <v>249</v>
      </c>
      <c r="D153" s="159">
        <f>SUM(D154:D156)</f>
        <v>248534536</v>
      </c>
      <c r="E153" s="87"/>
      <c r="F153" s="151"/>
    </row>
    <row r="154" spans="1:7" ht="21.75" customHeight="1">
      <c r="A154" s="113"/>
      <c r="B154" s="99">
        <v>57</v>
      </c>
      <c r="C154" s="65" t="s">
        <v>250</v>
      </c>
      <c r="D154" s="65">
        <v>100000000</v>
      </c>
      <c r="E154" s="92"/>
      <c r="F154" s="147"/>
    </row>
    <row r="155" spans="1:7" ht="21.75" customHeight="1">
      <c r="A155" s="113"/>
      <c r="B155" s="99">
        <v>66</v>
      </c>
      <c r="C155" s="65" t="s">
        <v>251</v>
      </c>
      <c r="D155" s="65">
        <v>23760000</v>
      </c>
      <c r="E155" s="92"/>
      <c r="F155" s="147"/>
    </row>
    <row r="156" spans="1:7" ht="21.75" customHeight="1">
      <c r="A156" s="113"/>
      <c r="B156" s="99">
        <v>99</v>
      </c>
      <c r="C156" s="92" t="s">
        <v>54</v>
      </c>
      <c r="D156" s="65">
        <v>124774536</v>
      </c>
      <c r="E156" s="92"/>
      <c r="F156" s="147"/>
    </row>
    <row r="157" spans="1:7" s="69" customFormat="1" ht="23.25" customHeight="1">
      <c r="A157" s="320" t="s">
        <v>252</v>
      </c>
      <c r="B157" s="321"/>
      <c r="C157" s="322"/>
      <c r="D157" s="89">
        <f>D8+D126+D127</f>
        <v>10787191899.824001</v>
      </c>
      <c r="E157" s="89"/>
      <c r="F157" s="89"/>
    </row>
    <row r="158" spans="1:7" s="69" customFormat="1" ht="23.25" customHeight="1">
      <c r="A158" s="160"/>
      <c r="B158" s="160"/>
      <c r="C158" s="160"/>
      <c r="D158" s="161"/>
      <c r="E158" s="161"/>
      <c r="F158" s="161"/>
    </row>
    <row r="159" spans="1:7" s="69" customFormat="1" ht="23.25" customHeight="1">
      <c r="A159" s="160"/>
      <c r="B159" s="160"/>
      <c r="C159" s="160"/>
      <c r="D159" s="161"/>
      <c r="E159" s="161"/>
      <c r="F159" s="161"/>
    </row>
    <row r="160" spans="1:7" s="166" customFormat="1" ht="21">
      <c r="A160" s="162"/>
      <c r="B160" s="163"/>
      <c r="C160" s="164"/>
      <c r="D160" s="323" t="s">
        <v>253</v>
      </c>
      <c r="E160" s="323"/>
      <c r="F160" s="165"/>
    </row>
    <row r="161" spans="1:7" s="168" customFormat="1" ht="21">
      <c r="A161" s="71"/>
      <c r="B161" s="167"/>
      <c r="C161" s="71" t="s">
        <v>254</v>
      </c>
      <c r="D161" s="324" t="s">
        <v>255</v>
      </c>
      <c r="E161" s="324"/>
      <c r="F161" s="73"/>
    </row>
    <row r="162" spans="1:7" s="168" customFormat="1">
      <c r="A162" s="73"/>
      <c r="B162" s="70"/>
      <c r="C162" s="71"/>
      <c r="D162" s="72"/>
      <c r="E162" s="73"/>
      <c r="F162" s="307"/>
      <c r="G162" s="307"/>
    </row>
    <row r="163" spans="1:7" s="168" customFormat="1">
      <c r="A163" s="73"/>
      <c r="B163" s="70"/>
      <c r="C163" s="71"/>
      <c r="D163" s="72"/>
      <c r="E163" s="73"/>
      <c r="F163" s="73"/>
    </row>
    <row r="164" spans="1:7" s="168" customFormat="1">
      <c r="A164" s="73"/>
      <c r="B164" s="70"/>
      <c r="C164" s="71"/>
      <c r="D164" s="72"/>
      <c r="E164" s="73"/>
      <c r="F164" s="73"/>
    </row>
    <row r="165" spans="1:7" s="168" customFormat="1">
      <c r="A165" s="73"/>
      <c r="B165" s="70"/>
      <c r="C165" s="71"/>
      <c r="D165" s="72"/>
      <c r="E165" s="73"/>
      <c r="F165" s="73"/>
    </row>
    <row r="166" spans="1:7" s="168" customFormat="1" ht="32.25" customHeight="1">
      <c r="A166" s="73"/>
      <c r="B166" s="70"/>
      <c r="C166" s="71"/>
      <c r="D166" s="72"/>
      <c r="E166" s="73"/>
      <c r="F166" s="73"/>
    </row>
    <row r="167" spans="1:7" s="168" customFormat="1">
      <c r="A167" s="73"/>
      <c r="B167" s="70"/>
      <c r="C167" s="71"/>
      <c r="D167" s="72"/>
      <c r="E167" s="73"/>
      <c r="F167" s="73"/>
    </row>
    <row r="168" spans="1:7" s="168" customFormat="1" ht="22.5" customHeight="1">
      <c r="A168" s="73"/>
      <c r="B168" s="70"/>
      <c r="C168" s="71"/>
      <c r="D168" s="72"/>
      <c r="E168" s="73"/>
      <c r="F168" s="73"/>
    </row>
    <row r="169" spans="1:7" s="168" customFormat="1" ht="22.5" customHeight="1">
      <c r="A169" s="73"/>
      <c r="B169" s="70"/>
      <c r="C169" s="71"/>
      <c r="D169" s="72"/>
      <c r="E169" s="73"/>
      <c r="F169" s="73"/>
    </row>
    <row r="170" spans="1:7" s="168" customFormat="1" ht="30.75" customHeight="1">
      <c r="A170" s="73"/>
      <c r="B170" s="70"/>
      <c r="C170" s="71"/>
      <c r="D170" s="72"/>
      <c r="E170" s="73"/>
      <c r="F170" s="73"/>
    </row>
    <row r="171" spans="1:7" s="168" customFormat="1" ht="22.5" customHeight="1">
      <c r="A171" s="73"/>
      <c r="B171" s="70"/>
      <c r="C171" s="71"/>
      <c r="D171" s="72"/>
      <c r="E171" s="73"/>
      <c r="F171" s="73"/>
    </row>
    <row r="172" spans="1:7" s="168" customFormat="1" ht="39.75" customHeight="1">
      <c r="A172" s="73"/>
      <c r="B172" s="70"/>
      <c r="C172" s="71"/>
      <c r="D172" s="72"/>
      <c r="E172" s="73"/>
      <c r="F172" s="73"/>
    </row>
    <row r="173" spans="1:7" s="168" customFormat="1" ht="41.25" customHeight="1">
      <c r="A173" s="73"/>
      <c r="B173" s="70"/>
      <c r="C173" s="71"/>
      <c r="D173" s="72"/>
      <c r="E173" s="73"/>
      <c r="F173" s="73"/>
    </row>
    <row r="174" spans="1:7" s="168" customFormat="1" ht="22.5" customHeight="1">
      <c r="A174" s="73"/>
      <c r="B174" s="70"/>
      <c r="C174" s="71"/>
      <c r="D174" s="72"/>
      <c r="E174" s="73"/>
      <c r="F174" s="73"/>
    </row>
    <row r="175" spans="1:7" s="168" customFormat="1" ht="33.75" customHeight="1">
      <c r="A175" s="73"/>
      <c r="B175" s="70"/>
      <c r="C175" s="71"/>
      <c r="D175" s="72"/>
      <c r="E175" s="73"/>
      <c r="F175" s="73"/>
    </row>
    <row r="176" spans="1:7" s="168" customFormat="1" ht="22.5" customHeight="1">
      <c r="A176" s="73"/>
      <c r="B176" s="70"/>
      <c r="C176" s="71"/>
      <c r="D176" s="72"/>
      <c r="E176" s="73"/>
      <c r="F176" s="73"/>
    </row>
    <row r="177" spans="1:6" s="168" customFormat="1" ht="22.5" customHeight="1">
      <c r="A177" s="73"/>
      <c r="B177" s="70"/>
      <c r="C177" s="71"/>
      <c r="D177" s="72"/>
      <c r="E177" s="73"/>
      <c r="F177" s="73"/>
    </row>
    <row r="178" spans="1:6" s="168" customFormat="1" ht="22.5" customHeight="1">
      <c r="A178" s="73"/>
      <c r="B178" s="70"/>
      <c r="C178" s="71"/>
      <c r="D178" s="72"/>
      <c r="E178" s="73"/>
      <c r="F178" s="73"/>
    </row>
    <row r="179" spans="1:6" s="168" customFormat="1" ht="22.5" customHeight="1">
      <c r="A179" s="73"/>
      <c r="B179" s="70"/>
      <c r="C179" s="71"/>
      <c r="D179" s="72"/>
      <c r="E179" s="73"/>
      <c r="F179" s="73"/>
    </row>
    <row r="180" spans="1:6" s="168" customFormat="1" ht="22.5" customHeight="1">
      <c r="A180" s="73"/>
      <c r="B180" s="70"/>
      <c r="C180" s="71"/>
      <c r="D180" s="72"/>
      <c r="E180" s="73"/>
      <c r="F180" s="73"/>
    </row>
    <row r="181" spans="1:6" s="168" customFormat="1" ht="22.5" customHeight="1">
      <c r="A181" s="73"/>
      <c r="B181" s="70"/>
      <c r="C181" s="71"/>
      <c r="D181" s="72"/>
      <c r="E181" s="73"/>
      <c r="F181" s="73"/>
    </row>
    <row r="182" spans="1:6" s="168" customFormat="1" ht="22.5" customHeight="1">
      <c r="A182" s="73"/>
      <c r="B182" s="70"/>
      <c r="C182" s="71"/>
      <c r="D182" s="72"/>
      <c r="E182" s="73"/>
      <c r="F182" s="73"/>
    </row>
    <row r="183" spans="1:6" s="168" customFormat="1" ht="22.5" customHeight="1">
      <c r="A183" s="73"/>
      <c r="B183" s="70"/>
      <c r="C183" s="71"/>
      <c r="D183" s="72"/>
      <c r="E183" s="73"/>
      <c r="F183" s="73"/>
    </row>
    <row r="184" spans="1:6" s="168" customFormat="1" ht="22.5" customHeight="1">
      <c r="A184" s="73"/>
      <c r="B184" s="70"/>
      <c r="C184" s="71"/>
      <c r="D184" s="72"/>
      <c r="E184" s="73"/>
      <c r="F184" s="73"/>
    </row>
    <row r="185" spans="1:6" s="168" customFormat="1" ht="22.5" customHeight="1">
      <c r="A185" s="73"/>
      <c r="B185" s="70"/>
      <c r="C185" s="71"/>
      <c r="D185" s="72"/>
      <c r="E185" s="73"/>
      <c r="F185" s="73"/>
    </row>
    <row r="186" spans="1:6" s="168" customFormat="1">
      <c r="A186" s="73"/>
      <c r="B186" s="70"/>
      <c r="C186" s="71"/>
      <c r="D186" s="72"/>
      <c r="E186" s="73"/>
      <c r="F186" s="73"/>
    </row>
    <row r="187" spans="1:6" s="168" customFormat="1">
      <c r="A187" s="73"/>
      <c r="B187" s="70"/>
      <c r="C187" s="71"/>
      <c r="D187" s="72"/>
      <c r="E187" s="73"/>
      <c r="F187" s="73"/>
    </row>
    <row r="188" spans="1:6" s="168" customFormat="1">
      <c r="A188" s="73"/>
      <c r="B188" s="70"/>
      <c r="C188" s="71"/>
      <c r="D188" s="72"/>
      <c r="E188" s="73"/>
      <c r="F188" s="73"/>
    </row>
    <row r="189" spans="1:6" s="168" customFormat="1" ht="19.5">
      <c r="C189" s="169"/>
      <c r="D189" s="170"/>
    </row>
    <row r="190" spans="1:6" ht="18.95" customHeight="1"/>
    <row r="191" spans="1:6" ht="18.95" customHeight="1">
      <c r="E191" s="95"/>
    </row>
    <row r="192" spans="1:6" ht="18.95" customHeight="1"/>
    <row r="193" spans="3:3" ht="18.95" customHeight="1"/>
    <row r="194" spans="3:3" ht="18.95" customHeight="1">
      <c r="C194" s="171"/>
    </row>
    <row r="195" spans="3:3" ht="18.95" customHeight="1">
      <c r="C195" s="172"/>
    </row>
  </sheetData>
  <mergeCells count="12">
    <mergeCell ref="F162:G162"/>
    <mergeCell ref="A3:F3"/>
    <mergeCell ref="A8:B8"/>
    <mergeCell ref="A9:B9"/>
    <mergeCell ref="A25:B25"/>
    <mergeCell ref="A118:A119"/>
    <mergeCell ref="B118:B119"/>
    <mergeCell ref="A126:B126"/>
    <mergeCell ref="A127:B127"/>
    <mergeCell ref="A157:C157"/>
    <mergeCell ref="D160:E160"/>
    <mergeCell ref="D161:E1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Bieu 2</vt:lpstr>
      <vt:lpstr>Bieu 3</vt:lpstr>
      <vt:lpstr>Bieu 4</vt:lpstr>
      <vt:lpstr>Sheet1</vt:lpstr>
      <vt:lpstr>'Bieu 2'!Print_Titles</vt:lpstr>
      <vt:lpstr>'Bieu 3'!Print_Titles</vt:lpstr>
      <vt:lpstr>'Bieu 4'!Print_Titles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2020-07-16T02:35:02Z</cp:lastPrinted>
  <dcterms:created xsi:type="dcterms:W3CDTF">2016-10-14T10:52:32Z</dcterms:created>
  <dcterms:modified xsi:type="dcterms:W3CDTF">2020-08-14T02:40:15Z</dcterms:modified>
</cp:coreProperties>
</file>