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0" windowWidth="15600" windowHeight="6735"/>
  </bookViews>
  <sheets>
    <sheet name="Bieu 2" sheetId="2" r:id="rId1"/>
    <sheet name="Bieu 3" sheetId="20" r:id="rId2"/>
    <sheet name="Bieu 4" sheetId="3" r:id="rId3"/>
  </sheets>
  <definedNames>
    <definedName name="_xlnm.Print_Titles" localSheetId="0">'Bieu 2'!$8:$8</definedName>
    <definedName name="_xlnm.Print_Titles" localSheetId="1">'Bieu 3'!$8:$9</definedName>
    <definedName name="_xlnm.Print_Titles" localSheetId="2">'Bieu 4'!$9:$10</definedName>
  </definedNames>
  <calcPr calcId="144525"/>
</workbook>
</file>

<file path=xl/calcChain.xml><?xml version="1.0" encoding="utf-8"?>
<calcChain xmlns="http://schemas.openxmlformats.org/spreadsheetml/2006/main">
  <c r="E28" i="20" l="1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88" i="20"/>
  <c r="E89" i="20"/>
  <c r="E90" i="20"/>
  <c r="E91" i="20"/>
  <c r="E92" i="20"/>
  <c r="E93" i="20"/>
  <c r="E94" i="20"/>
  <c r="E95" i="20"/>
  <c r="E96" i="20"/>
  <c r="E97" i="20"/>
  <c r="E98" i="20"/>
  <c r="E99" i="20"/>
  <c r="E100" i="20"/>
  <c r="E101" i="20"/>
  <c r="E102" i="20"/>
  <c r="E103" i="20"/>
  <c r="E104" i="20"/>
  <c r="E105" i="20"/>
  <c r="E106" i="20"/>
  <c r="E107" i="20"/>
  <c r="E108" i="20"/>
  <c r="E109" i="20"/>
  <c r="E110" i="20"/>
  <c r="E111" i="20"/>
  <c r="E112" i="20"/>
  <c r="E113" i="20"/>
  <c r="E114" i="20"/>
  <c r="E115" i="20"/>
  <c r="E116" i="20"/>
  <c r="E117" i="20"/>
  <c r="E118" i="20"/>
  <c r="E119" i="20"/>
  <c r="E120" i="20"/>
  <c r="E121" i="20"/>
  <c r="E122" i="20"/>
  <c r="E123" i="20"/>
  <c r="E124" i="20"/>
  <c r="E125" i="20"/>
  <c r="E126" i="20"/>
  <c r="E127" i="20"/>
  <c r="E128" i="20"/>
  <c r="E129" i="20"/>
  <c r="E130" i="20"/>
  <c r="E131" i="20"/>
  <c r="E132" i="20"/>
  <c r="E133" i="20"/>
  <c r="E134" i="20"/>
  <c r="E135" i="20"/>
  <c r="E136" i="20"/>
  <c r="E137" i="20"/>
  <c r="E138" i="20"/>
  <c r="E139" i="20"/>
  <c r="E140" i="20"/>
  <c r="E141" i="20"/>
  <c r="E142" i="20"/>
  <c r="E143" i="20"/>
  <c r="E144" i="20"/>
  <c r="E145" i="20"/>
  <c r="E146" i="20"/>
  <c r="E147" i="20"/>
  <c r="E148" i="20"/>
  <c r="E149" i="20"/>
  <c r="E150" i="20"/>
  <c r="E151" i="20"/>
  <c r="E152" i="20"/>
  <c r="E153" i="20"/>
  <c r="E154" i="20"/>
  <c r="E155" i="20"/>
  <c r="E156" i="20"/>
  <c r="E157" i="20"/>
  <c r="E158" i="20"/>
  <c r="E159" i="20"/>
  <c r="E160" i="20"/>
  <c r="E161" i="20"/>
  <c r="E162" i="20"/>
  <c r="E163" i="20"/>
  <c r="E164" i="20"/>
  <c r="E165" i="20"/>
  <c r="E166" i="20"/>
  <c r="E167" i="20"/>
  <c r="E168" i="20"/>
  <c r="E169" i="20"/>
  <c r="E170" i="20"/>
  <c r="E171" i="20"/>
  <c r="E172" i="20"/>
  <c r="E173" i="20"/>
  <c r="E174" i="20"/>
  <c r="E175" i="20"/>
  <c r="E176" i="20"/>
  <c r="E177" i="20"/>
  <c r="E178" i="20"/>
  <c r="E179" i="20"/>
  <c r="E180" i="20"/>
  <c r="E181" i="20"/>
  <c r="E182" i="20"/>
  <c r="E183" i="20"/>
  <c r="E184" i="20"/>
  <c r="E29" i="20"/>
  <c r="E13" i="20"/>
  <c r="D10" i="20"/>
  <c r="D27" i="20"/>
  <c r="C57" i="20"/>
  <c r="C43" i="20"/>
  <c r="D43" i="20"/>
  <c r="F43" i="20"/>
  <c r="F27" i="20"/>
  <c r="C27" i="20"/>
  <c r="D28" i="20"/>
  <c r="F28" i="20"/>
  <c r="D57" i="20"/>
  <c r="F57" i="20"/>
  <c r="D155" i="20"/>
  <c r="F155" i="20"/>
  <c r="D179" i="20"/>
  <c r="F179" i="20"/>
  <c r="D177" i="20"/>
  <c r="F177" i="20"/>
  <c r="D174" i="20"/>
  <c r="F174" i="20"/>
  <c r="D163" i="20"/>
  <c r="F163" i="20"/>
  <c r="D161" i="20"/>
  <c r="F161" i="20"/>
  <c r="D156" i="20"/>
  <c r="F156" i="20"/>
  <c r="D152" i="20"/>
  <c r="F152" i="20"/>
  <c r="D147" i="20"/>
  <c r="F147" i="20"/>
  <c r="C147" i="20"/>
  <c r="D95" i="20"/>
  <c r="F95" i="20"/>
  <c r="C95" i="20"/>
  <c r="D88" i="20"/>
  <c r="F88" i="20"/>
  <c r="C88" i="20"/>
  <c r="D81" i="20"/>
  <c r="F81" i="20"/>
  <c r="C81" i="20"/>
  <c r="D76" i="20"/>
  <c r="F76" i="20"/>
  <c r="C76" i="20"/>
  <c r="D71" i="20"/>
  <c r="F71" i="20"/>
  <c r="C71" i="20"/>
  <c r="D64" i="20"/>
  <c r="F64" i="20"/>
  <c r="C64" i="20"/>
  <c r="D60" i="20"/>
  <c r="F60" i="20"/>
  <c r="D58" i="20"/>
  <c r="F58" i="20"/>
  <c r="D38" i="20"/>
  <c r="F38" i="20"/>
  <c r="C38" i="20"/>
  <c r="D32" i="20"/>
  <c r="F32" i="20"/>
  <c r="C32" i="20"/>
  <c r="D30" i="20"/>
  <c r="F30" i="20"/>
  <c r="D85" i="20"/>
  <c r="E27" i="20" l="1"/>
  <c r="C183" i="20" l="1"/>
  <c r="C181" i="20"/>
  <c r="C179" i="20"/>
  <c r="C178" i="20"/>
  <c r="C177" i="20"/>
  <c r="C176" i="20"/>
  <c r="C174" i="20" s="1"/>
  <c r="C171" i="20"/>
  <c r="C170" i="20"/>
  <c r="C168" i="20"/>
  <c r="C167" i="20"/>
  <c r="C163" i="20" s="1"/>
  <c r="C166" i="20"/>
  <c r="C161" i="20"/>
  <c r="C160" i="20"/>
  <c r="C159" i="20"/>
  <c r="C158" i="20"/>
  <c r="C157" i="20"/>
  <c r="C152" i="20"/>
  <c r="C151" i="20"/>
  <c r="C149" i="20"/>
  <c r="C146" i="20"/>
  <c r="C145" i="20"/>
  <c r="C144" i="20"/>
  <c r="C142" i="20"/>
  <c r="C141" i="20"/>
  <c r="C138" i="20"/>
  <c r="C132" i="20"/>
  <c r="C131" i="20"/>
  <c r="C108" i="20"/>
  <c r="C107" i="20"/>
  <c r="C106" i="20"/>
  <c r="C105" i="20"/>
  <c r="C104" i="20"/>
  <c r="C102" i="20"/>
  <c r="C99" i="20"/>
  <c r="C97" i="20"/>
  <c r="C96" i="20"/>
  <c r="C94" i="20"/>
  <c r="C90" i="20"/>
  <c r="C85" i="20"/>
  <c r="C84" i="20"/>
  <c r="C83" i="20"/>
  <c r="C80" i="20"/>
  <c r="C79" i="20"/>
  <c r="C78" i="20"/>
  <c r="C77" i="20"/>
  <c r="C73" i="20"/>
  <c r="C72" i="20"/>
  <c r="C70" i="20"/>
  <c r="C69" i="20"/>
  <c r="C68" i="20"/>
  <c r="C67" i="20"/>
  <c r="C66" i="20"/>
  <c r="C65" i="20"/>
  <c r="C63" i="20"/>
  <c r="C62" i="20"/>
  <c r="C61" i="20"/>
  <c r="C59" i="20"/>
  <c r="C58" i="20" s="1"/>
  <c r="C46" i="20"/>
  <c r="C44" i="20"/>
  <c r="C31" i="20"/>
  <c r="C30" i="20"/>
  <c r="C29" i="20"/>
  <c r="C28" i="20" s="1"/>
  <c r="C156" i="20" l="1"/>
  <c r="C60" i="20"/>
  <c r="C155" i="20"/>
  <c r="C52" i="20"/>
  <c r="C34" i="2"/>
  <c r="C39" i="2"/>
  <c r="D23" i="3"/>
  <c r="E23" i="3"/>
  <c r="C23" i="3"/>
  <c r="F22" i="3"/>
  <c r="F14" i="3"/>
  <c r="F15" i="3"/>
  <c r="F16" i="3"/>
  <c r="F23" i="3" s="1"/>
  <c r="F17" i="3"/>
  <c r="F18" i="3"/>
  <c r="F19" i="3"/>
  <c r="F20" i="3"/>
  <c r="F21" i="3"/>
  <c r="F13" i="3"/>
  <c r="H27" i="20" l="1"/>
  <c r="C21" i="2" l="1"/>
  <c r="C20" i="2"/>
  <c r="A3" i="20" l="1"/>
  <c r="A2" i="20"/>
  <c r="C30" i="2" l="1"/>
  <c r="C19" i="2"/>
  <c r="C29" i="2" l="1"/>
  <c r="C28" i="2" s="1"/>
  <c r="C10" i="2"/>
  <c r="C9" i="2" l="1"/>
  <c r="C11" i="20"/>
  <c r="C13" i="20" s="1"/>
  <c r="D13" i="20" l="1"/>
  <c r="C10" i="20"/>
  <c r="E11" i="20" l="1"/>
  <c r="E10" i="20" s="1"/>
  <c r="D11" i="20"/>
</calcChain>
</file>

<file path=xl/sharedStrings.xml><?xml version="1.0" encoding="utf-8"?>
<sst xmlns="http://schemas.openxmlformats.org/spreadsheetml/2006/main" count="295" uniqueCount="225">
  <si>
    <t>I</t>
  </si>
  <si>
    <t>II</t>
  </si>
  <si>
    <t>(Dùng cho đơn vị dự toán cấp trên và đơn vị</t>
  </si>
  <si>
    <t>Nội dung</t>
  </si>
  <si>
    <t xml:space="preserve">Số 
TT </t>
  </si>
  <si>
    <t>Chi quản lý hành chính</t>
  </si>
  <si>
    <t xml:space="preserve"> dự toán sử dụng ngân sách nhà nước)</t>
  </si>
  <si>
    <t>So sánh (%)</t>
  </si>
  <si>
    <t>Dự toán</t>
  </si>
  <si>
    <t>Cùng kỳ 
năm trước</t>
  </si>
  <si>
    <t>Dự toán năm</t>
  </si>
  <si>
    <t>Tổng số thu, chi, nộp ngân sách phí, lệ phí</t>
  </si>
  <si>
    <t xml:space="preserve"> Số thu phí, lệ phí</t>
  </si>
  <si>
    <t>1.1</t>
  </si>
  <si>
    <t>Lệ phí</t>
  </si>
  <si>
    <t>1.2</t>
  </si>
  <si>
    <t>Phí</t>
  </si>
  <si>
    <t>Chi từ nguồn thu phí được để lại</t>
  </si>
  <si>
    <t>2.1</t>
  </si>
  <si>
    <t>Chi sự nghiệp………………….</t>
  </si>
  <si>
    <t>a</t>
  </si>
  <si>
    <t>b</t>
  </si>
  <si>
    <t>Kinh phí nhiệm vụ không thường xuyên</t>
  </si>
  <si>
    <t>2.2</t>
  </si>
  <si>
    <t xml:space="preserve"> Kinh phí thực hiện chế độ tự chủ </t>
  </si>
  <si>
    <t xml:space="preserve">Kinh phí không thực hiện chế độ tự chủ </t>
  </si>
  <si>
    <t xml:space="preserve"> Số phí, lệ phí nộp NSNN</t>
  </si>
  <si>
    <t>3.1</t>
  </si>
  <si>
    <t>3.2</t>
  </si>
  <si>
    <t>Dự toán chi ngân sách nhà nước</t>
  </si>
  <si>
    <t xml:space="preserve"> Chương: 622</t>
  </si>
  <si>
    <t xml:space="preserve"> Biểu số 2 - Ban hành kèm theo Thông tư số 61/2017/TT-BTC ngày 15 tháng 6 năm 2017
 của Bộ Tài chính</t>
  </si>
  <si>
    <t>Học phí: 60.000đ/hs/tháng</t>
  </si>
  <si>
    <t>Kinh phí nhiệm vụ thường xuyên</t>
  </si>
  <si>
    <t xml:space="preserve">Kinh phí thực hiện chế độ tự chủ </t>
  </si>
  <si>
    <t>Chi mua sắm, sửa chữa</t>
  </si>
  <si>
    <t>Chi khác</t>
  </si>
  <si>
    <t>Chi thanh toán cá nhân</t>
  </si>
  <si>
    <t>Chi sự nghiệp giáo dục</t>
  </si>
  <si>
    <t>10% tiết kiệm bổ sung CCTL</t>
  </si>
  <si>
    <t>Chi hoạt động TX, sửa chữa TX</t>
  </si>
  <si>
    <t>Chi nghiệp vụ chuyên môn</t>
  </si>
  <si>
    <t>III</t>
  </si>
  <si>
    <t>Hội PHHS</t>
  </si>
  <si>
    <t>BH tai nạn</t>
  </si>
  <si>
    <t>BHYT</t>
  </si>
  <si>
    <t>Người lập biểu                                                                               Thủ trưởng đơn vị</t>
  </si>
  <si>
    <t xml:space="preserve"> Biểu số 3 - Ban hành kèm theo Thông tư số 61/2017/TT-BTC ngày 15 tháng 6 năm 2017 
của Bộ Tài chính</t>
  </si>
  <si>
    <t>ĐV tính: đồng</t>
  </si>
  <si>
    <t>Các khoản đóng góp</t>
  </si>
  <si>
    <t>Phụ cấp lương</t>
  </si>
  <si>
    <t>Thanh toán cá nhân</t>
  </si>
  <si>
    <t>Văn phòng phẩm</t>
  </si>
  <si>
    <t>Thông tin liên lạc</t>
  </si>
  <si>
    <t>Công tác phí</t>
  </si>
  <si>
    <t>Thuê mướn</t>
  </si>
  <si>
    <t>Chi mua sắm, SC lớn (029)</t>
  </si>
  <si>
    <t>Chi thanh toán cá nhân (40%)</t>
  </si>
  <si>
    <t>Chi hoạt động chuyên môn (TGTB 30%)</t>
  </si>
  <si>
    <t>Chi khác (tiền tết 30%)</t>
  </si>
  <si>
    <t>Phù hiệu</t>
  </si>
  <si>
    <t>Sổ liên lạc điện tử</t>
  </si>
  <si>
    <t>Lương</t>
  </si>
  <si>
    <t xml:space="preserve">Chi PCTN: 0.3x 12 tháng </t>
  </si>
  <si>
    <t>BHYT: 3% (BC+HĐ+PCCV+PCVK)</t>
  </si>
  <si>
    <t>KPCĐ: 2% (BC+HĐ+PCCV+PCVK)</t>
  </si>
  <si>
    <t>BHTN: 1% (BC+HĐ+PCCV+PC TN)</t>
  </si>
  <si>
    <t>Thanh toán dịch vụ công cộng</t>
  </si>
  <si>
    <t>Tiền xăng chạy máy nổ, cắt cỏ: 20lít/tháng *15,000đ/lít * 12 tháng</t>
  </si>
  <si>
    <t>Rác sinh hoạt: 120.000đ/tháng*12tháng</t>
  </si>
  <si>
    <t xml:space="preserve">Văn phòng phẩm </t>
  </si>
  <si>
    <t>Giấy A4 phục vụ cho giáo viên</t>
  </si>
  <si>
    <t>Giấy A3 phục vụ giáo viên</t>
  </si>
  <si>
    <t>Giấy A4 phục vụ học sinh photo đề kiểm tra</t>
  </si>
  <si>
    <t>Hồ dán, viết, bìa mũ lá, bìa nút, bìa 3 dây, kim bấm, kẹp,…..</t>
  </si>
  <si>
    <t>Tiền điện thoại: 02 máy * 150.000đ/tháng*12 tháng</t>
  </si>
  <si>
    <t>Cước phí internet: 660.000đ/tháng *12 tháng</t>
  </si>
  <si>
    <t>Khoán điện thoại: 02 người*200.000đ/tháng*12 tháng</t>
  </si>
  <si>
    <t>Thông tin liên lạc khác</t>
  </si>
  <si>
    <t>Tiền khoán công tác phí: 500.000 đồng/3người * 12 tháng</t>
  </si>
  <si>
    <t>Thuê lực lượng an ninh phường hỗ trợ giờ cao điểm: 4.000.000 đồng/tháng *9 tháng</t>
  </si>
  <si>
    <t>Thuê tỉa cây, dọn chà dọn rác máy nhà ….</t>
  </si>
  <si>
    <t>Sửa chữa tài sản cố định</t>
  </si>
  <si>
    <t>Sửa chữa máy vi tính các phòng Đoàn -Đội, Văn phòng, máy vi tính phòng ngoại ngữ, tin học; máy chiếu…</t>
  </si>
  <si>
    <t>Máy  photocopy</t>
  </si>
  <si>
    <t>Máy bơm nước</t>
  </si>
  <si>
    <t>Sửa chữa điện, nước nhà vệ sinh học sinh+giáo viên, máy lạnh</t>
  </si>
  <si>
    <t>Sữa chửa hành lang, sân trường, bồn bông….</t>
  </si>
  <si>
    <t>Sửa chữa khác: thay mặt bàn, ghế; kính cửa….</t>
  </si>
  <si>
    <t>Chi mua vật tư dạy học: tranh ảnh, hóa chất, thiết bị TNTH</t>
  </si>
  <si>
    <t>Nước uống giáo viên, trà: 4.000.000 đồng/quý *4 quý</t>
  </si>
  <si>
    <t>Chỉ thị 40 THTT HSTC ( cây xanh, phân bón)</t>
  </si>
  <si>
    <t>Chi khác, tiền tết</t>
  </si>
  <si>
    <t>Chi trợ cấp bí thư chi bộ: 01 người * 50,000 đồng/tháng *12 tháng</t>
  </si>
  <si>
    <t>BHXH : 18%</t>
  </si>
  <si>
    <t>BHYT: 3%</t>
  </si>
  <si>
    <t xml:space="preserve">KPCĐ: 2% </t>
  </si>
  <si>
    <t xml:space="preserve">BHTN: 1% </t>
  </si>
  <si>
    <t>Hỗ trợ chi phí học tập HS nghèo</t>
  </si>
  <si>
    <t xml:space="preserve">Chi thuê mướn </t>
  </si>
  <si>
    <t>Hợp đồng lao động kế toán, NVYT</t>
  </si>
  <si>
    <t xml:space="preserve"> Chi NVCM </t>
  </si>
  <si>
    <t>Chi thanh toán cá nhân khác</t>
  </si>
  <si>
    <t xml:space="preserve"> Chi khác </t>
  </si>
  <si>
    <t>Cấp bù học phí</t>
  </si>
  <si>
    <t>Tổng cộng</t>
  </si>
  <si>
    <t>Trường THCS MỸ THẠNH</t>
  </si>
  <si>
    <t>Vệ sinh</t>
  </si>
  <si>
    <t>Dạy thêm học thêm</t>
  </si>
  <si>
    <t>Ôn tuyển sinh 10</t>
  </si>
  <si>
    <t>LƯƠNG KHÁC</t>
  </si>
  <si>
    <t>Chi PCCV: 4,10x 12tháng</t>
  </si>
  <si>
    <t>Phụ cấp thâm niên: 23,9734*12 tháng</t>
  </si>
  <si>
    <t>BHXH : 18% (BC+HĐ+PCCV+PCVK)</t>
  </si>
  <si>
    <t>Tiền điện: 15.000.000*12tháng</t>
  </si>
  <si>
    <t>Bơm mực máy in: 10 máy * 5lần/năm*160.000đ/lần</t>
  </si>
  <si>
    <t>Thay mực máy photo: 01 máy * 10 lần *1,100,000</t>
  </si>
  <si>
    <t>Tiền tàu xe:  3.000 lượt *14,000đồng.lượt</t>
  </si>
  <si>
    <t>Phụ cấp công tác phí: 1500 lượt * 50.000đồng/lượt</t>
  </si>
  <si>
    <t>Thuê phòng: 30 lượt * 400,000đồng/lượt</t>
  </si>
  <si>
    <t>Hỗ trợ thuê xe chở Hs thi các hội thi</t>
  </si>
  <si>
    <t>Thuê công chăm sóc cây xanh, tỉa cây, bón phân: 500.000 đồng/tháng * 12 tháng</t>
  </si>
  <si>
    <t>Thuê công dọn sân trường, cổng trường, hỗ trợ lau dọn 7 nhà vệ sinh học sinh, dọn rác đỗ rác cho học sinh : 6,200,000 đồng/tháng * 9 tháng</t>
  </si>
  <si>
    <t>Thuê mước khác</t>
  </si>
  <si>
    <t>Khen thưởng học sinh: 38 lớp *400.000đ/lớp/học kỳ + HS giỏi tỉnh</t>
  </si>
  <si>
    <t>Mua bàn ghế 02 chỗ ngồi không bán trú</t>
  </si>
  <si>
    <t xml:space="preserve"> Trang phục bảo vệ : 02* 600,000đ/năm </t>
  </si>
  <si>
    <t>DỰ TOÁN THU- CHI NGÂN SÁCH NHÀ NƯỚC NĂM HỌC2020-2021</t>
  </si>
  <si>
    <t xml:space="preserve"> ( kèm theo quyết đính số : 1717/QĐ-PGDĐT ngày 28/12/2020 )</t>
  </si>
  <si>
    <t>( Dùng cho đơn vị sử dụng ngân sách )</t>
  </si>
  <si>
    <t>Số giáo viên,công nhân viên  : 57</t>
  </si>
  <si>
    <t>Tính theo số liệu thực tế tại đơn vị: Số học sinh: 1583 - với 37 lớp</t>
  </si>
  <si>
    <t>Mỹ Phước, ngày  01  tháng 07 năm 2021</t>
  </si>
  <si>
    <t>Dự toán thu - chi quỹ ngoài ngân sách (từ 8/2020-6/2021)</t>
  </si>
  <si>
    <t>Quỹ khuyến học</t>
  </si>
  <si>
    <t xml:space="preserve">       Biểu số :04 - ban hành kèm theo thông tư số 90/2018/TT-BTC ngày 28 tháng 09 năm 2018 của Bộ Tài chính </t>
  </si>
  <si>
    <t xml:space="preserve">CHƯƠNG : 622 , LOẠI:491                                                </t>
  </si>
  <si>
    <t xml:space="preserve">CÔNG KHAI </t>
  </si>
  <si>
    <t xml:space="preserve">  QUYẾT TOÁN THU- CHI NGUỒN KHÁC </t>
  </si>
  <si>
    <t xml:space="preserve">                                                                    Đvt:  dồng </t>
  </si>
  <si>
    <t>TT</t>
  </si>
  <si>
    <t xml:space="preserve">Tồn kỳ trước </t>
  </si>
  <si>
    <t>Thu</t>
  </si>
  <si>
    <t xml:space="preserve">Chi </t>
  </si>
  <si>
    <t xml:space="preserve">Tồn </t>
  </si>
  <si>
    <t xml:space="preserve">Ghi chú </t>
  </si>
  <si>
    <t xml:space="preserve">LẬP BẢNG </t>
  </si>
  <si>
    <t xml:space="preserve">THỦ TRƯỞNG ĐƠN VỊ </t>
  </si>
  <si>
    <t xml:space="preserve">  Bền cát , ngày   01 tháng  07  năm 2021</t>
  </si>
  <si>
    <t xml:space="preserve">ĐƠN VI : Trường THCS MỸ THẠNH                      </t>
  </si>
  <si>
    <t>Trích Chăm sóc sức khỏe</t>
  </si>
  <si>
    <t>ĐÁNH GIÁ THỰC HIỆN DỰ TOÁN THU- CHI NGÂN SÁCH - QUÍ II/2021  (NĂM HỌC: 2020-2021)</t>
  </si>
  <si>
    <t>Ước thực
hiện QII/2021</t>
  </si>
  <si>
    <t>Chi lương BC : 183,6</t>
  </si>
  <si>
    <t>Lương hợp đồng: 4,420 X3 NGx 12 tháng</t>
  </si>
  <si>
    <t>Chi PCƯĐ: 50,412x 12tháng</t>
  </si>
  <si>
    <t xml:space="preserve">Chi PCVK: 1,8825 x 12tháng </t>
  </si>
  <si>
    <t>Bổ sung lương, phụ cấp
 và các khoản đóng góp mức lương từ 1.210.000 -1.490.000 do huy động nguồn CCTL  nhưng không đủ</t>
  </si>
  <si>
    <t xml:space="preserve">Trang phục thể dục: </t>
  </si>
  <si>
    <t xml:space="preserve">Sách, tài liệu  cho công tác chuyên môn: </t>
  </si>
  <si>
    <t>Chi sinh hoạt hè: 1100 HS *5.000 đ/1hs + 12GV*200.000 đ/GV+ banrol: 250,000đ</t>
  </si>
  <si>
    <t>Chi học bồi dưỡng nghiệp vụ chuyên môn ngắn hạn: Tổ trưởng, tổ phó: 14 GV</t>
  </si>
  <si>
    <t>Chi HKPĐ NH 2018-2019</t>
  </si>
  <si>
    <t>Chi bồi dưỡng giáo viên có thành tích BD học sinh đạt vòng thị: 1.500.000đ/học sinh đạt giải (tính theo hoạt động chuyên môn)*9 HS</t>
  </si>
  <si>
    <t>Chi bồi dưỡng giáo viên có thành tích BD học sinh đạt giải vòng thị: 400.000đ/hội thi/GV trực tiếp hướng dẫn (hoạt động phong trào thi qua mạng internet) * 05G,  tỉnh: 600.000 đồng/hội thi/giáo viên trực tiếp hướng dẫn * 2GV  và các hội thi tương đương</t>
  </si>
  <si>
    <t>Chi bồi dưỡng viết SKKN: 40 SKKN * 100.000 đ/SKKN</t>
  </si>
  <si>
    <t>Chi hỗ trợ GV làm đồ dùng dạy học vòng cơ sở: 200,000đ/người/môn</t>
  </si>
  <si>
    <t>Chi hỗ trợ GV làm đồ dùng dạy học vòng thị xã: 300,000đ/người/môn</t>
  </si>
  <si>
    <t>Chi hỗ trợ GV làm đồ dùng dạy học vòng tỉnh 500,000đ/người/môn</t>
  </si>
  <si>
    <t>Chi bồi dưỡng GV HD HS thi ATGT và các hoạt động Đội TNTP: Nhà Sử học nhỏ tuổi, Kể chuyện sách, Hội họa trong hè: 400.000 đồng/ Hội thi và các hội thi tương đương</t>
  </si>
  <si>
    <t>Chi bồi dưỡng khen thưởng GV có hs đạt thành tích tập thể  trong các hội thi  vòng thị xã</t>
  </si>
  <si>
    <t>Chi bồi dưỡng khen thưởng GV có hs đạt thành tích cá nhân trong các hội thi  vòng thị xã</t>
  </si>
  <si>
    <t>Chi bồi dưỡng khen thưởng GV có hs đạt thành tích tập thể  trong các hội thi  vòng tỉnh</t>
  </si>
  <si>
    <t>Chi bồi dưỡng khen thưởng GV có hs đạt thành tích cá nhân trong các hội thi  vòng tỉnh</t>
  </si>
  <si>
    <t>Chi bồi dưỡng khen thưởng GV có hs đạt thành tích tập thể  trong các hội thi  vòng quốc gia</t>
  </si>
  <si>
    <t>Chi bồi dưỡng khen thưởng GV có hs đạt thành tích cá nhân trong các hội thi  vòng quốc gia</t>
  </si>
  <si>
    <t>Chi hoỗ trợ khen thưởng giáo viên có học sinh đạt thành tích cá nhân hội thi Olympic cấp tỉnh</t>
  </si>
  <si>
    <t>Chi hỗ trợ khen thưởng giáo viên có học sinh đạt thành tích cá nhân hội thi chuyên môn: Sao khuê, lương thế vinh…</t>
  </si>
  <si>
    <t>Chi bồi dưỡng, khen thưởng GV có thành tích GV giỏi cấp thị xã có giải: 500,000 đ/Gv, Công nhận GV giỏi: 300,000 đ/Gv</t>
  </si>
  <si>
    <t xml:space="preserve">Chi bồi dưỡng, khen thưởng GV có thành tích GV giỏi cấp tỉnh </t>
  </si>
  <si>
    <t>Bồ dưỡng GV tham gia các hội thi chuyên môn cấp thị: 200.000đ/GV, cấp tỉnh: 400.000 đ/Gv</t>
  </si>
  <si>
    <t>Chi tiền thưởng người làm đồ dùng dạy học hội thi cấp tỉnh</t>
  </si>
  <si>
    <t>Chi bồi dưỡng giáo viên phụ đạo học sinh yếu kém</t>
  </si>
  <si>
    <t>Chi khen thưởng cho học sinh, tập thể đạt thành tích  tập thể các hội thi chuyên môn, đoàn đội: ATGT. Lòng đèn đẹp, nhà sử học nhỏ tuổi, viết bài 20/11…. cấp trường</t>
  </si>
  <si>
    <t>Chi khen thưởng cho học sinh, tập thể đạt thành tích  cá nhân các hội thi chuyên môn, đoàn đội: ATGT. Lòng đèn đẹp, nhà sử học nhỏ tuổi, viết bài 20/11…. cấp trường</t>
  </si>
  <si>
    <t>Chi khen thưởng cho học sinh, tập thể đạt thành tích  tập thể các hội thi chuyên môn, đoàn đội: ATGT. Lòng đèn đẹp, nhà sử học nhỏ tuổi, viết bài 20/11…. Cấp Thị xã</t>
  </si>
  <si>
    <t>Chi khen thưởng cho học sinh, tập thể đạt thành tích  cá nhân các hội thi chuyên môn, đoàn đội: ATGT. Lòng đèn đẹp, nhà sử học nhỏ tuổi, viết bài 20/11…. cấp thị xã</t>
  </si>
  <si>
    <t>Chi khen thưởng cho học sinh, tập thể đạt thành tích  tập thể các hội thi chuyên môn, đoàn đội: ATGT. Lòng đèn đẹp, nhà sử học nhỏ tuổi, viết bài 20/11…. Cấp tỉnh</t>
  </si>
  <si>
    <t>Chi khen thưởng cho học sinh, tập thể đạt thành tích  cá nhân các hội thi chuyên môn, đoàn đội: ATGT. Lòng đèn đẹp, nhà sử học nhỏ tuổi, viết bài 20/11…. Cấp tỉnh</t>
  </si>
  <si>
    <t>Chi khen thưởng cho học sinh, tập thể đạt thành tích  tập thể các hội thi chuyên môn, đoàn đội: ATGT. Lòng đèn đẹp, nhà sử học nhỏ tuổi, viết bài 20/11…. Cấp quốc gia</t>
  </si>
  <si>
    <t>Chi khen thưởng cho học sinh, tập thể đạt thành tích  cá nhân các hội thi chuyên môn, đoàn đội: ATGT. Lòng đèn đẹp, nhà sử học nhỏ tuổi, viết bài 20/11…. Cấp quốc gia</t>
  </si>
  <si>
    <t>Bồi dưỡng GV triển khai chuyên đề cấp thị, tỉnh: 06 GV * 200.000 đồng/chuyên đề</t>
  </si>
  <si>
    <t>Bồi dưỡng học sinh tham gia thi ATGT cấp thị, tỉnh: 30 HS / 80,000đồng/buổi)</t>
  </si>
  <si>
    <t>Bồi dưỡng học sinh tham gia thi ATGT cấp thị, tỉnh: 50 HS ( 120.000 đồng/ngày)</t>
  </si>
  <si>
    <t>Bồi dưỡng học sinh tham gia thi kể chuyện sách hè: 10 HS * 70.000 đồng</t>
  </si>
  <si>
    <t>Bồi dưỡng học sinh các hội thi khác: 300 lượt *70,000 đồng</t>
  </si>
  <si>
    <t>Bồi dưỡng học sinh tham gia thi kể chuyện học tập và làm theo tấm gương đạo đức Hồ Chí Minh: 10 HS * 70.000 đồng</t>
  </si>
  <si>
    <t>Bồi dưỡng GV đạt giải GV giỏi cấp tỉnh: 02 GV *2.000.000 đồng</t>
  </si>
  <si>
    <t>Bồi dưỡng GV ôn thi tuyển sinh 10 tỉ lệ bằng hoặc cao hơn tỉ lệ tỉnh: 06 GV *1.000.000 đồng</t>
  </si>
  <si>
    <t>Khám sức khỏe học sinh: 1.400 *45.000 đồng/HS</t>
  </si>
  <si>
    <t>Chi hội thi Vui để học của học sinh</t>
  </si>
  <si>
    <t>Chi hội thi Bán hàng rong, chào mừng ngày 26/3</t>
  </si>
  <si>
    <t>Chi hoạt động  chào mừng 20/11:hỗ trợ làm thiệp, tập san, ban giám khảo, giải thưởng</t>
  </si>
  <si>
    <t>Chi hội thi làm lồng đèn Tết Trung thu: hỗ trợ làm lồng đèn, ban giám khảo, giải thưởng: 150.000đ/chi đội</t>
  </si>
  <si>
    <t>Chi hội thi Nghi thức Đội, Nhà Sử học nhỏ tuổi</t>
  </si>
  <si>
    <t>Chi bồi dưỡng giáo viên phụ đạo học sinh yếu kém: mỗi khối 01 lớp/100 tiết/môn * 90.000 đồng/tiết* 4 khối * 3 môn</t>
  </si>
  <si>
    <t>Chi trù bị đại hội Liên đội: 5.000đ/hs</t>
  </si>
  <si>
    <t>Chi chính thức đại hội Liên đội: 10.000đ/hs</t>
  </si>
  <si>
    <t>Chi NVCM khác</t>
  </si>
  <si>
    <t>NGUỒN KINH PHÍ CẢI CÁCH TIỀN LƯƠNG</t>
  </si>
  <si>
    <t>NGUỒN KINH PHÍ KHÔNG TỰ CHỦ</t>
  </si>
  <si>
    <t>Thừa giờ</t>
  </si>
  <si>
    <t>Chi phụ cấp 30% GV không đứng lớp: 5,385*12 tháng</t>
  </si>
  <si>
    <t>Trợ cấp Bảo vệ: 02 người * 600.000đồng/tháng *12 tháng</t>
  </si>
  <si>
    <t>Trợ cấp NV Phục vụ: 01 người * 500.000đồng/tháng *12 tháng</t>
  </si>
  <si>
    <t>Trợ cấp GV ở trọ:  2*12*0,7*1490000</t>
  </si>
  <si>
    <t xml:space="preserve"> GV công tác khác địa bàn: 02gv *900.000đ/năm </t>
  </si>
  <si>
    <t xml:space="preserve"> Trợ cấp thư viện: 0,2*12 tháng </t>
  </si>
  <si>
    <t>Trợ cấp thạc sĩ: 01 người x 1,5 x 1,490,000 đ</t>
  </si>
  <si>
    <t>Trợ cấp khuyến khích đào tạo</t>
  </si>
  <si>
    <t xml:space="preserve"> Chi ngày 20/11: 57*200.000đ/GV </t>
  </si>
  <si>
    <t>Phòng chống dịch covid-19</t>
  </si>
  <si>
    <t>Sửa chữa</t>
  </si>
  <si>
    <t>Hỗ trợ 0,1% GV dạy thể dục:  38lớp *36 tuần *2 tiết/tuần * 14,900đ/tiết, tăng thu nhập</t>
  </si>
  <si>
    <t>NĂM HỌC: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</si>
</sst>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-* #,##0\ _₫_-;\-* #,##0\ _₫_-;_-* &quot;-&quot;??\ _₫_-;_-@_-"/>
    <numFmt numFmtId="166" formatCode="_(* #,##0_);_(* \(#,##0\);_(* &quot;-&quot;??_);_(@_)"/>
  </numFmts>
  <fonts count="32">
    <font>
      <sz val="11"/>
      <color theme="1"/>
      <name val="Calibri"/>
      <family val="2"/>
      <charset val="163"/>
      <scheme val="minor"/>
    </font>
    <font>
      <sz val="11"/>
      <color theme="1"/>
      <name val=".VnArial"/>
      <family val="2"/>
      <charset val="163"/>
    </font>
    <font>
      <sz val="10"/>
      <name val="Arial"/>
      <family val="2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name val="Times New Roman"/>
      <family val="1"/>
    </font>
    <font>
      <b/>
      <i/>
      <u/>
      <sz val="12"/>
      <color rgb="FFFF0000"/>
      <name val="Times New Roman"/>
      <family val="1"/>
    </font>
    <font>
      <b/>
      <i/>
      <u/>
      <sz val="14"/>
      <color rgb="FFFF0000"/>
      <name val="Times New Roman"/>
      <family val="1"/>
    </font>
    <font>
      <sz val="12"/>
      <name val="VNI-Times"/>
    </font>
    <font>
      <b/>
      <sz val="12"/>
      <color theme="1"/>
      <name val="VNI-Times"/>
    </font>
    <font>
      <sz val="12"/>
      <color theme="1"/>
      <name val="VNI-Times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u/>
      <sz val="12"/>
      <name val="Times New Roman"/>
      <family val="1"/>
    </font>
    <font>
      <b/>
      <u/>
      <sz val="12"/>
      <color theme="1"/>
      <name val="VNI-Time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9" fontId="8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Border="1"/>
    <xf numFmtId="0" fontId="4" fillId="0" borderId="0" xfId="0" applyFont="1"/>
    <xf numFmtId="3" fontId="5" fillId="0" borderId="0" xfId="0" applyNumberFormat="1" applyFont="1"/>
    <xf numFmtId="3" fontId="7" fillId="0" borderId="1" xfId="0" applyNumberFormat="1" applyFont="1" applyBorder="1"/>
    <xf numFmtId="0" fontId="9" fillId="0" borderId="0" xfId="0" applyFont="1"/>
    <xf numFmtId="0" fontId="1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3" fontId="6" fillId="0" borderId="1" xfId="0" applyNumberFormat="1" applyFont="1" applyBorder="1"/>
    <xf numFmtId="0" fontId="1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/>
    <xf numFmtId="165" fontId="5" fillId="0" borderId="0" xfId="4" applyNumberFormat="1" applyFont="1"/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16" fillId="0" borderId="0" xfId="0" applyFont="1"/>
    <xf numFmtId="166" fontId="14" fillId="0" borderId="0" xfId="5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3" fontId="16" fillId="0" borderId="0" xfId="0" applyNumberFormat="1" applyFont="1"/>
    <xf numFmtId="3" fontId="3" fillId="0" borderId="1" xfId="0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 wrapText="1"/>
    </xf>
    <xf numFmtId="10" fontId="5" fillId="0" borderId="1" xfId="2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/>
    </xf>
    <xf numFmtId="10" fontId="5" fillId="0" borderId="1" xfId="2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10" fontId="5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166" fontId="3" fillId="0" borderId="1" xfId="4" applyNumberFormat="1" applyFont="1" applyFill="1" applyBorder="1" applyAlignment="1">
      <alignment horizontal="center" vertical="center"/>
    </xf>
    <xf numFmtId="166" fontId="5" fillId="0" borderId="1" xfId="4" applyNumberFormat="1" applyFont="1" applyFill="1" applyBorder="1" applyAlignment="1">
      <alignment horizontal="center" vertical="center"/>
    </xf>
    <xf numFmtId="0" fontId="9" fillId="0" borderId="0" xfId="0" applyFont="1"/>
    <xf numFmtId="0" fontId="3" fillId="0" borderId="0" xfId="0" applyFont="1"/>
    <xf numFmtId="0" fontId="13" fillId="0" borderId="1" xfId="0" applyFont="1" applyFill="1" applyBorder="1" applyAlignment="1">
      <alignment horizontal="left" vertical="center"/>
    </xf>
    <xf numFmtId="0" fontId="22" fillId="0" borderId="0" xfId="0" applyFont="1" applyAlignment="1">
      <alignment horizontal="center"/>
    </xf>
    <xf numFmtId="166" fontId="0" fillId="0" borderId="0" xfId="4" applyNumberFormat="1" applyFont="1"/>
    <xf numFmtId="0" fontId="23" fillId="0" borderId="0" xfId="0" applyFont="1"/>
    <xf numFmtId="0" fontId="24" fillId="0" borderId="0" xfId="0" applyFont="1"/>
    <xf numFmtId="0" fontId="2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6" fontId="2" fillId="0" borderId="1" xfId="4" applyNumberFormat="1" applyFont="1" applyBorder="1"/>
    <xf numFmtId="166" fontId="2" fillId="0" borderId="1" xfId="0" applyNumberFormat="1" applyFont="1" applyBorder="1"/>
    <xf numFmtId="0" fontId="2" fillId="0" borderId="0" xfId="0" applyFont="1"/>
    <xf numFmtId="166" fontId="2" fillId="0" borderId="0" xfId="4" applyNumberFormat="1" applyFont="1"/>
    <xf numFmtId="0" fontId="2" fillId="0" borderId="2" xfId="0" applyFont="1" applyBorder="1"/>
    <xf numFmtId="166" fontId="2" fillId="0" borderId="0" xfId="0" applyNumberFormat="1" applyFont="1"/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166" fontId="23" fillId="0" borderId="1" xfId="4" applyNumberFormat="1" applyFont="1" applyBorder="1"/>
    <xf numFmtId="166" fontId="23" fillId="0" borderId="0" xfId="4" applyNumberFormat="1" applyFont="1"/>
    <xf numFmtId="0" fontId="23" fillId="0" borderId="0" xfId="0" applyFont="1" applyBorder="1" applyAlignment="1">
      <alignment horizontal="center"/>
    </xf>
    <xf numFmtId="0" fontId="23" fillId="0" borderId="0" xfId="0" applyFont="1" applyBorder="1"/>
    <xf numFmtId="166" fontId="23" fillId="0" borderId="0" xfId="4" applyNumberFormat="1" applyFont="1" applyBorder="1"/>
    <xf numFmtId="0" fontId="28" fillId="0" borderId="0" xfId="0" applyFont="1"/>
    <xf numFmtId="0" fontId="23" fillId="0" borderId="0" xfId="0" applyFont="1" applyAlignment="1">
      <alignment horizontal="center"/>
    </xf>
    <xf numFmtId="166" fontId="3" fillId="0" borderId="1" xfId="4" applyNumberFormat="1" applyFont="1" applyFill="1" applyBorder="1" applyAlignment="1">
      <alignment vertical="center"/>
    </xf>
    <xf numFmtId="166" fontId="5" fillId="0" borderId="1" xfId="4" applyNumberFormat="1" applyFont="1" applyFill="1" applyBorder="1" applyAlignment="1">
      <alignment vertical="center"/>
    </xf>
    <xf numFmtId="166" fontId="13" fillId="0" borderId="1" xfId="4" applyNumberFormat="1" applyFont="1" applyFill="1" applyBorder="1" applyAlignment="1">
      <alignment vertical="center"/>
    </xf>
    <xf numFmtId="166" fontId="3" fillId="2" borderId="1" xfId="4" applyNumberFormat="1" applyFont="1" applyFill="1" applyBorder="1" applyAlignment="1">
      <alignment vertical="center"/>
    </xf>
    <xf numFmtId="0" fontId="31" fillId="0" borderId="1" xfId="0" applyFont="1" applyFill="1" applyBorder="1" applyAlignment="1">
      <alignment vertical="center"/>
    </xf>
    <xf numFmtId="166" fontId="31" fillId="0" borderId="1" xfId="4" applyNumberFormat="1" applyFont="1" applyFill="1" applyBorder="1" applyAlignment="1">
      <alignment vertical="center"/>
    </xf>
    <xf numFmtId="166" fontId="31" fillId="0" borderId="1" xfId="4" applyNumberFormat="1" applyFont="1" applyFill="1" applyBorder="1" applyAlignment="1">
      <alignment horizontal="left" vertical="center"/>
    </xf>
    <xf numFmtId="166" fontId="18" fillId="0" borderId="1" xfId="4" applyNumberFormat="1" applyFont="1" applyFill="1" applyBorder="1" applyAlignment="1">
      <alignment horizontal="left" vertical="center"/>
    </xf>
    <xf numFmtId="166" fontId="19" fillId="0" borderId="1" xfId="4" applyNumberFormat="1" applyFont="1" applyFill="1" applyBorder="1" applyAlignment="1">
      <alignment horizontal="left" vertical="center"/>
    </xf>
    <xf numFmtId="166" fontId="5" fillId="0" borderId="1" xfId="4" applyNumberFormat="1" applyFont="1" applyFill="1" applyBorder="1" applyAlignment="1">
      <alignment horizontal="left" vertical="center" wrapText="1"/>
    </xf>
    <xf numFmtId="166" fontId="5" fillId="0" borderId="1" xfId="4" applyNumberFormat="1" applyFont="1" applyFill="1" applyBorder="1" applyAlignment="1">
      <alignment vertical="center" wrapText="1"/>
    </xf>
    <xf numFmtId="0" fontId="5" fillId="0" borderId="1" xfId="0" applyFont="1" applyBorder="1"/>
    <xf numFmtId="0" fontId="11" fillId="0" borderId="1" xfId="0" applyFont="1" applyBorder="1"/>
    <xf numFmtId="166" fontId="11" fillId="0" borderId="1" xfId="4" applyNumberFormat="1" applyFont="1" applyFill="1" applyBorder="1" applyAlignment="1">
      <alignment vertical="center"/>
    </xf>
    <xf numFmtId="0" fontId="3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5" fillId="0" borderId="1" xfId="4" applyNumberFormat="1" applyFont="1" applyBorder="1"/>
    <xf numFmtId="165" fontId="11" fillId="0" borderId="0" xfId="0" applyNumberFormat="1" applyFont="1"/>
    <xf numFmtId="0" fontId="3" fillId="0" borderId="1" xfId="0" applyFont="1" applyBorder="1"/>
    <xf numFmtId="0" fontId="9" fillId="0" borderId="1" xfId="0" applyFont="1" applyBorder="1"/>
    <xf numFmtId="165" fontId="3" fillId="0" borderId="1" xfId="4" applyNumberFormat="1" applyFont="1" applyBorder="1"/>
    <xf numFmtId="0" fontId="4" fillId="0" borderId="0" xfId="0" applyFont="1" applyAlignment="1">
      <alignment horizontal="right"/>
    </xf>
    <xf numFmtId="3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2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7" fillId="0" borderId="2" xfId="0" applyFont="1" applyBorder="1" applyAlignment="1">
      <alignment horizontal="center" wrapText="1"/>
    </xf>
    <xf numFmtId="0" fontId="27" fillId="0" borderId="3" xfId="0" applyFont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</cellXfs>
  <cellStyles count="6">
    <cellStyle name="Comma" xfId="4" builtinId="3"/>
    <cellStyle name="Comma 10" xfId="5"/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1"/>
  <sheetViews>
    <sheetView tabSelected="1" workbookViewId="0">
      <selection activeCell="C48" sqref="C48"/>
    </sheetView>
  </sheetViews>
  <sheetFormatPr defaultColWidth="9" defaultRowHeight="15.75"/>
  <cols>
    <col min="1" max="1" width="5.28515625" style="5" customWidth="1"/>
    <col min="2" max="2" width="65.5703125" style="3" customWidth="1"/>
    <col min="3" max="3" width="22.85546875" style="3" customWidth="1"/>
    <col min="4" max="6" width="9" style="3"/>
    <col min="7" max="7" width="22" style="3" bestFit="1" customWidth="1"/>
    <col min="8" max="16384" width="9" style="3"/>
  </cols>
  <sheetData>
    <row r="1" spans="1:3" ht="30" customHeight="1">
      <c r="A1" s="104" t="s">
        <v>31</v>
      </c>
      <c r="B1" s="105"/>
      <c r="C1" s="105"/>
    </row>
    <row r="2" spans="1:3" s="20" customFormat="1" ht="21.75" customHeight="1">
      <c r="A2" s="108" t="s">
        <v>106</v>
      </c>
      <c r="B2" s="108"/>
    </row>
    <row r="3" spans="1:3" s="1" customFormat="1">
      <c r="A3" s="109" t="s">
        <v>30</v>
      </c>
      <c r="B3" s="109"/>
    </row>
    <row r="4" spans="1:3" ht="28.15" customHeight="1">
      <c r="A4" s="107" t="s">
        <v>127</v>
      </c>
      <c r="B4" s="107"/>
      <c r="C4" s="107"/>
    </row>
    <row r="5" spans="1:3">
      <c r="A5" s="110" t="s">
        <v>128</v>
      </c>
      <c r="B5" s="110"/>
      <c r="C5" s="110"/>
    </row>
    <row r="6" spans="1:3">
      <c r="A6" s="106" t="s">
        <v>129</v>
      </c>
      <c r="B6" s="106"/>
      <c r="C6" s="106"/>
    </row>
    <row r="7" spans="1:3" ht="22.5">
      <c r="A7" s="59"/>
      <c r="B7" s="106" t="s">
        <v>130</v>
      </c>
      <c r="C7" s="106"/>
    </row>
    <row r="8" spans="1:3" s="13" customFormat="1">
      <c r="A8" s="106" t="s">
        <v>131</v>
      </c>
      <c r="B8" s="106"/>
      <c r="C8" s="106"/>
    </row>
    <row r="9" spans="1:3" s="1" customFormat="1">
      <c r="A9" s="6" t="s">
        <v>0</v>
      </c>
      <c r="B9" s="7" t="s">
        <v>11</v>
      </c>
      <c r="C9" s="14">
        <f>C10</f>
        <v>644760000</v>
      </c>
    </row>
    <row r="10" spans="1:3">
      <c r="A10" s="8">
        <v>1</v>
      </c>
      <c r="B10" s="9" t="s">
        <v>12</v>
      </c>
      <c r="C10" s="15">
        <f>C12</f>
        <v>644760000</v>
      </c>
    </row>
    <row r="11" spans="1:3">
      <c r="A11" s="8" t="s">
        <v>13</v>
      </c>
      <c r="B11" s="9" t="s">
        <v>14</v>
      </c>
      <c r="C11" s="15"/>
    </row>
    <row r="12" spans="1:3">
      <c r="A12" s="8"/>
      <c r="B12" s="9" t="s">
        <v>32</v>
      </c>
      <c r="C12" s="15">
        <v>644760000</v>
      </c>
    </row>
    <row r="13" spans="1:3">
      <c r="A13" s="8" t="s">
        <v>15</v>
      </c>
      <c r="B13" s="9" t="s">
        <v>16</v>
      </c>
      <c r="C13" s="15"/>
    </row>
    <row r="14" spans="1:3">
      <c r="A14" s="8">
        <v>2</v>
      </c>
      <c r="B14" s="9" t="s">
        <v>17</v>
      </c>
      <c r="C14" s="15"/>
    </row>
    <row r="15" spans="1:3">
      <c r="A15" s="8" t="s">
        <v>18</v>
      </c>
      <c r="B15" s="9" t="s">
        <v>38</v>
      </c>
      <c r="C15" s="15"/>
    </row>
    <row r="16" spans="1:3" s="17" customFormat="1" ht="17.25" customHeight="1">
      <c r="A16" s="10" t="s">
        <v>20</v>
      </c>
      <c r="B16" s="11" t="s">
        <v>33</v>
      </c>
      <c r="C16" s="16"/>
    </row>
    <row r="17" spans="1:3" s="17" customFormat="1">
      <c r="A17" s="10" t="s">
        <v>21</v>
      </c>
      <c r="B17" s="11" t="s">
        <v>22</v>
      </c>
      <c r="C17" s="16"/>
    </row>
    <row r="18" spans="1:3">
      <c r="A18" s="8" t="s">
        <v>23</v>
      </c>
      <c r="B18" s="9" t="s">
        <v>5</v>
      </c>
      <c r="C18" s="15"/>
    </row>
    <row r="19" spans="1:3" s="17" customFormat="1">
      <c r="A19" s="10" t="s">
        <v>20</v>
      </c>
      <c r="B19" s="11" t="s">
        <v>34</v>
      </c>
      <c r="C19" s="31">
        <f>SUM(C20:C23)</f>
        <v>583332000</v>
      </c>
    </row>
    <row r="20" spans="1:3">
      <c r="A20" s="8"/>
      <c r="B20" s="9" t="s">
        <v>57</v>
      </c>
      <c r="C20" s="15">
        <f>C12*40%</f>
        <v>257904000</v>
      </c>
    </row>
    <row r="21" spans="1:3">
      <c r="A21" s="8"/>
      <c r="B21" s="9" t="s">
        <v>58</v>
      </c>
      <c r="C21" s="15">
        <f>C12*30%</f>
        <v>193428000</v>
      </c>
    </row>
    <row r="22" spans="1:3">
      <c r="A22" s="8"/>
      <c r="B22" s="9" t="s">
        <v>35</v>
      </c>
      <c r="C22" s="15">
        <v>0</v>
      </c>
    </row>
    <row r="23" spans="1:3">
      <c r="A23" s="8"/>
      <c r="B23" s="9" t="s">
        <v>59</v>
      </c>
      <c r="C23" s="15">
        <v>132000000</v>
      </c>
    </row>
    <row r="24" spans="1:3" s="17" customFormat="1">
      <c r="A24" s="10" t="s">
        <v>21</v>
      </c>
      <c r="B24" s="11" t="s">
        <v>25</v>
      </c>
      <c r="C24" s="16"/>
    </row>
    <row r="25" spans="1:3">
      <c r="A25" s="8">
        <v>3</v>
      </c>
      <c r="B25" s="9" t="s">
        <v>26</v>
      </c>
      <c r="C25" s="15"/>
    </row>
    <row r="26" spans="1:3">
      <c r="A26" s="8" t="s">
        <v>27</v>
      </c>
      <c r="B26" s="9" t="s">
        <v>14</v>
      </c>
      <c r="C26" s="15"/>
    </row>
    <row r="27" spans="1:3">
      <c r="A27" s="8" t="s">
        <v>28</v>
      </c>
      <c r="B27" s="9" t="s">
        <v>16</v>
      </c>
      <c r="C27" s="15"/>
    </row>
    <row r="28" spans="1:3" s="1" customFormat="1">
      <c r="A28" s="6" t="s">
        <v>1</v>
      </c>
      <c r="B28" s="7" t="s">
        <v>29</v>
      </c>
      <c r="C28" s="14">
        <f>C29</f>
        <v>9650443107.3099995</v>
      </c>
    </row>
    <row r="29" spans="1:3">
      <c r="A29" s="8">
        <v>1</v>
      </c>
      <c r="B29" s="9" t="s">
        <v>5</v>
      </c>
      <c r="C29" s="19">
        <f>C30+C34</f>
        <v>9650443107.3099995</v>
      </c>
    </row>
    <row r="30" spans="1:3">
      <c r="A30" s="8" t="s">
        <v>13</v>
      </c>
      <c r="B30" s="9" t="s">
        <v>24</v>
      </c>
      <c r="C30" s="31">
        <f>SUM(C31:C33)</f>
        <v>7589632947.3099995</v>
      </c>
    </row>
    <row r="31" spans="1:3">
      <c r="A31" s="8"/>
      <c r="B31" s="9" t="s">
        <v>37</v>
      </c>
      <c r="C31" s="15">
        <v>5826582947.3099995</v>
      </c>
    </row>
    <row r="32" spans="1:3" ht="16.5" customHeight="1">
      <c r="A32" s="8"/>
      <c r="B32" s="9" t="s">
        <v>40</v>
      </c>
      <c r="C32" s="15">
        <v>1650065000</v>
      </c>
    </row>
    <row r="33" spans="1:8">
      <c r="A33" s="8"/>
      <c r="B33" s="9" t="s">
        <v>39</v>
      </c>
      <c r="C33" s="15">
        <v>112985000</v>
      </c>
      <c r="G33" s="32"/>
    </row>
    <row r="34" spans="1:8">
      <c r="A34" s="8" t="s">
        <v>15</v>
      </c>
      <c r="B34" s="9" t="s">
        <v>25</v>
      </c>
      <c r="C34" s="31">
        <f>SUM(C35:C38)</f>
        <v>2060810160</v>
      </c>
      <c r="G34" s="18"/>
    </row>
    <row r="35" spans="1:8">
      <c r="A35" s="8"/>
      <c r="B35" s="9" t="s">
        <v>37</v>
      </c>
      <c r="C35" s="15">
        <v>1196150560</v>
      </c>
    </row>
    <row r="36" spans="1:8">
      <c r="A36" s="8"/>
      <c r="B36" s="9" t="s">
        <v>41</v>
      </c>
      <c r="C36" s="15">
        <v>12000000</v>
      </c>
      <c r="D36" s="36"/>
      <c r="E36" s="36"/>
      <c r="F36" s="36"/>
      <c r="G36" s="36"/>
      <c r="H36" s="36"/>
    </row>
    <row r="37" spans="1:8">
      <c r="A37" s="8"/>
      <c r="B37" s="9" t="s">
        <v>56</v>
      </c>
      <c r="C37" s="15"/>
      <c r="D37" s="36"/>
      <c r="E37" s="36"/>
      <c r="F37" s="36"/>
      <c r="G37" s="36"/>
      <c r="H37" s="36"/>
    </row>
    <row r="38" spans="1:8">
      <c r="A38" s="8"/>
      <c r="B38" s="9" t="s">
        <v>36</v>
      </c>
      <c r="C38" s="15">
        <v>852659600</v>
      </c>
      <c r="D38" s="36"/>
      <c r="E38" s="36"/>
      <c r="F38" s="36"/>
      <c r="G38" s="36"/>
      <c r="H38" s="36"/>
    </row>
    <row r="39" spans="1:8">
      <c r="A39" s="6" t="s">
        <v>42</v>
      </c>
      <c r="B39" s="7" t="s">
        <v>133</v>
      </c>
      <c r="C39" s="14">
        <f>SUM(C40:C49)</f>
        <v>1878750475</v>
      </c>
      <c r="D39" s="36"/>
      <c r="E39" s="36"/>
      <c r="F39" s="36"/>
      <c r="G39" s="36"/>
      <c r="H39" s="36"/>
    </row>
    <row r="40" spans="1:8">
      <c r="A40" s="12">
        <v>1</v>
      </c>
      <c r="B40" s="9" t="s">
        <v>60</v>
      </c>
      <c r="C40" s="27">
        <v>21602000</v>
      </c>
      <c r="D40" s="36"/>
      <c r="E40" s="36"/>
      <c r="F40" s="36"/>
      <c r="G40" s="36"/>
      <c r="H40" s="36"/>
    </row>
    <row r="41" spans="1:8">
      <c r="A41" s="12">
        <v>2</v>
      </c>
      <c r="B41" s="9" t="s">
        <v>43</v>
      </c>
      <c r="C41" s="27">
        <v>180797000</v>
      </c>
      <c r="D41" s="36"/>
      <c r="E41" s="36"/>
      <c r="F41" s="36"/>
      <c r="G41" s="36"/>
      <c r="H41" s="36"/>
    </row>
    <row r="42" spans="1:8">
      <c r="A42" s="12">
        <v>3</v>
      </c>
      <c r="B42" s="9" t="s">
        <v>107</v>
      </c>
      <c r="C42" s="27">
        <v>23145000</v>
      </c>
      <c r="D42" s="36"/>
      <c r="E42" s="36"/>
      <c r="F42" s="36"/>
      <c r="G42" s="36"/>
      <c r="H42" s="36"/>
    </row>
    <row r="43" spans="1:8">
      <c r="A43" s="12">
        <v>4</v>
      </c>
      <c r="B43" s="9" t="s">
        <v>61</v>
      </c>
      <c r="C43" s="27">
        <v>108010000</v>
      </c>
      <c r="D43" s="36"/>
      <c r="E43" s="36"/>
      <c r="F43" s="36"/>
      <c r="G43" s="36"/>
      <c r="H43" s="36"/>
    </row>
    <row r="44" spans="1:8">
      <c r="A44" s="12">
        <v>5</v>
      </c>
      <c r="B44" s="9" t="s">
        <v>44</v>
      </c>
      <c r="C44" s="27">
        <v>222278000</v>
      </c>
      <c r="D44" s="36"/>
      <c r="E44" s="36"/>
      <c r="F44" s="36"/>
      <c r="G44" s="36"/>
      <c r="H44" s="36"/>
    </row>
    <row r="45" spans="1:8">
      <c r="A45" s="12">
        <v>6</v>
      </c>
      <c r="B45" s="9" t="s">
        <v>45</v>
      </c>
      <c r="C45" s="27">
        <v>868485240</v>
      </c>
      <c r="D45" s="36"/>
      <c r="E45" s="36"/>
      <c r="F45" s="36"/>
      <c r="G45" s="36"/>
      <c r="H45" s="36"/>
    </row>
    <row r="46" spans="1:8">
      <c r="A46" s="12">
        <v>7</v>
      </c>
      <c r="B46" s="9" t="s">
        <v>108</v>
      </c>
      <c r="C46" s="27">
        <v>192915000</v>
      </c>
      <c r="D46" s="36"/>
      <c r="E46" s="36"/>
      <c r="F46" s="36"/>
      <c r="G46" s="36"/>
      <c r="H46" s="36"/>
    </row>
    <row r="47" spans="1:8">
      <c r="A47" s="12">
        <v>8</v>
      </c>
      <c r="B47" s="9" t="s">
        <v>109</v>
      </c>
      <c r="C47" s="27">
        <v>197275000</v>
      </c>
      <c r="D47" s="36"/>
      <c r="E47" s="36"/>
      <c r="F47" s="36"/>
      <c r="G47" s="36"/>
      <c r="H47" s="36"/>
    </row>
    <row r="48" spans="1:8">
      <c r="A48" s="12">
        <v>9</v>
      </c>
      <c r="B48" s="9" t="s">
        <v>134</v>
      </c>
      <c r="C48" s="27">
        <v>38000000</v>
      </c>
      <c r="D48" s="36"/>
      <c r="E48" s="36"/>
      <c r="F48" s="36"/>
      <c r="G48" s="36"/>
      <c r="H48" s="36"/>
    </row>
    <row r="49" spans="1:8">
      <c r="A49" s="64">
        <v>10</v>
      </c>
      <c r="B49" s="65" t="s">
        <v>150</v>
      </c>
      <c r="C49" s="27">
        <v>26243235</v>
      </c>
      <c r="D49" s="36"/>
      <c r="E49" s="36"/>
      <c r="F49" s="36"/>
      <c r="G49" s="36"/>
      <c r="H49" s="36"/>
    </row>
    <row r="50" spans="1:8">
      <c r="B50" s="102" t="s">
        <v>132</v>
      </c>
      <c r="C50" s="102"/>
    </row>
    <row r="51" spans="1:8">
      <c r="A51" s="103" t="s">
        <v>46</v>
      </c>
      <c r="B51" s="103"/>
      <c r="C51" s="103"/>
    </row>
  </sheetData>
  <mergeCells count="10">
    <mergeCell ref="B50:C50"/>
    <mergeCell ref="A51:C51"/>
    <mergeCell ref="A1:C1"/>
    <mergeCell ref="A6:C6"/>
    <mergeCell ref="A4:C4"/>
    <mergeCell ref="A2:B2"/>
    <mergeCell ref="A3:B3"/>
    <mergeCell ref="A5:C5"/>
    <mergeCell ref="B7:C7"/>
    <mergeCell ref="A8:C8"/>
  </mergeCells>
  <pageMargins left="0.51181102362204722" right="0.11811023622047245" top="0.70866141732283472" bottom="0.55118110236220474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87"/>
  <sheetViews>
    <sheetView topLeftCell="A64" workbookViewId="0">
      <selection activeCell="C193" sqref="C193"/>
    </sheetView>
  </sheetViews>
  <sheetFormatPr defaultColWidth="8.85546875" defaultRowHeight="18.75"/>
  <cols>
    <col min="1" max="1" width="7.140625" style="21" customWidth="1"/>
    <col min="2" max="2" width="65" style="21" customWidth="1"/>
    <col min="3" max="3" width="19.7109375" style="21" customWidth="1"/>
    <col min="4" max="4" width="18.7109375" style="21" customWidth="1"/>
    <col min="5" max="5" width="12.85546875" style="21" customWidth="1"/>
    <col min="6" max="7" width="11.42578125" style="21" customWidth="1"/>
    <col min="8" max="8" width="18.5703125" style="21" bestFit="1" customWidth="1"/>
    <col min="9" max="9" width="8.85546875" style="21"/>
    <col min="10" max="10" width="17.42578125" style="21" customWidth="1"/>
    <col min="11" max="16384" width="8.85546875" style="21"/>
  </cols>
  <sheetData>
    <row r="1" spans="1:6" ht="30.6" customHeight="1">
      <c r="A1" s="104" t="s">
        <v>47</v>
      </c>
      <c r="B1" s="104"/>
      <c r="C1" s="104"/>
      <c r="D1" s="104"/>
      <c r="E1" s="104"/>
      <c r="F1" s="104"/>
    </row>
    <row r="2" spans="1:6">
      <c r="A2" s="108" t="str">
        <f>'Bieu 2'!A2:B2</f>
        <v>Trường THCS MỸ THẠNH</v>
      </c>
      <c r="B2" s="108"/>
      <c r="C2" s="20"/>
      <c r="E2" s="111"/>
      <c r="F2" s="111"/>
    </row>
    <row r="3" spans="1:6">
      <c r="A3" s="109" t="str">
        <f>'Bieu 2'!A3:B3</f>
        <v xml:space="preserve"> Chương: 622</v>
      </c>
      <c r="B3" s="109"/>
      <c r="C3" s="2"/>
      <c r="D3" s="3"/>
      <c r="E3" s="3"/>
      <c r="F3" s="2"/>
    </row>
    <row r="4" spans="1:6">
      <c r="A4" s="107" t="s">
        <v>151</v>
      </c>
      <c r="B4" s="107"/>
      <c r="C4" s="107"/>
      <c r="D4" s="107"/>
      <c r="E4" s="107"/>
      <c r="F4" s="107"/>
    </row>
    <row r="5" spans="1:6">
      <c r="A5" s="112" t="s">
        <v>2</v>
      </c>
      <c r="B5" s="112"/>
      <c r="C5" s="112"/>
      <c r="D5" s="112"/>
      <c r="E5" s="112"/>
      <c r="F5" s="112"/>
    </row>
    <row r="6" spans="1:6">
      <c r="A6" s="112" t="s">
        <v>6</v>
      </c>
      <c r="B6" s="112"/>
      <c r="C6" s="112"/>
      <c r="D6" s="112"/>
      <c r="E6" s="112"/>
      <c r="F6" s="112"/>
    </row>
    <row r="7" spans="1:6">
      <c r="A7" s="4"/>
      <c r="B7" s="4"/>
      <c r="C7" s="4"/>
      <c r="D7" s="4"/>
      <c r="E7" s="113" t="s">
        <v>48</v>
      </c>
      <c r="F7" s="113"/>
    </row>
    <row r="8" spans="1:6" ht="21.75" customHeight="1">
      <c r="A8" s="114" t="s">
        <v>4</v>
      </c>
      <c r="B8" s="116" t="s">
        <v>3</v>
      </c>
      <c r="C8" s="118" t="s">
        <v>10</v>
      </c>
      <c r="D8" s="114" t="s">
        <v>152</v>
      </c>
      <c r="E8" s="121" t="s">
        <v>7</v>
      </c>
      <c r="F8" s="122"/>
    </row>
    <row r="9" spans="1:6" ht="39" customHeight="1">
      <c r="A9" s="115"/>
      <c r="B9" s="117"/>
      <c r="C9" s="119"/>
      <c r="D9" s="120"/>
      <c r="E9" s="22" t="s">
        <v>8</v>
      </c>
      <c r="F9" s="23" t="s">
        <v>9</v>
      </c>
    </row>
    <row r="10" spans="1:6" s="29" customFormat="1" ht="36.6" customHeight="1">
      <c r="A10" s="22" t="s">
        <v>0</v>
      </c>
      <c r="B10" s="30" t="s">
        <v>11</v>
      </c>
      <c r="C10" s="43">
        <f>C11</f>
        <v>644760000</v>
      </c>
      <c r="D10" s="43">
        <f>D11</f>
        <v>161190000</v>
      </c>
      <c r="E10" s="44">
        <f t="shared" ref="E10" si="0">E11</f>
        <v>0.25</v>
      </c>
      <c r="F10" s="28"/>
    </row>
    <row r="11" spans="1:6" ht="16.899999999999999" customHeight="1">
      <c r="A11" s="24">
        <v>1</v>
      </c>
      <c r="B11" s="9" t="s">
        <v>12</v>
      </c>
      <c r="C11" s="45">
        <f>'Bieu 2'!C10</f>
        <v>644760000</v>
      </c>
      <c r="D11" s="45">
        <f t="shared" ref="D11" si="1">D13</f>
        <v>161190000</v>
      </c>
      <c r="E11" s="46">
        <f>E13</f>
        <v>0.25</v>
      </c>
      <c r="F11" s="47"/>
    </row>
    <row r="12" spans="1:6" ht="16.899999999999999" customHeight="1">
      <c r="A12" s="8" t="s">
        <v>13</v>
      </c>
      <c r="B12" s="9" t="s">
        <v>14</v>
      </c>
      <c r="C12" s="45"/>
      <c r="D12" s="47"/>
      <c r="E12" s="48"/>
      <c r="F12" s="47"/>
    </row>
    <row r="13" spans="1:6" ht="16.899999999999999" customHeight="1">
      <c r="A13" s="8"/>
      <c r="B13" s="9" t="s">
        <v>32</v>
      </c>
      <c r="C13" s="49">
        <f>C11</f>
        <v>644760000</v>
      </c>
      <c r="D13" s="50">
        <f>C13/4</f>
        <v>161190000</v>
      </c>
      <c r="E13" s="51">
        <f>D13/C13*100%</f>
        <v>0.25</v>
      </c>
      <c r="F13" s="51"/>
    </row>
    <row r="14" spans="1:6" ht="16.899999999999999" customHeight="1">
      <c r="A14" s="8" t="s">
        <v>15</v>
      </c>
      <c r="B14" s="9" t="s">
        <v>16</v>
      </c>
      <c r="C14" s="49"/>
      <c r="D14" s="50"/>
      <c r="E14" s="50"/>
      <c r="F14" s="50"/>
    </row>
    <row r="15" spans="1:6" ht="16.899999999999999" customHeight="1">
      <c r="A15" s="24">
        <v>2</v>
      </c>
      <c r="B15" s="9" t="s">
        <v>17</v>
      </c>
      <c r="C15" s="49"/>
      <c r="D15" s="50"/>
      <c r="E15" s="50"/>
      <c r="F15" s="50"/>
    </row>
    <row r="16" spans="1:6" ht="16.899999999999999" customHeight="1">
      <c r="A16" s="8" t="s">
        <v>18</v>
      </c>
      <c r="B16" s="9" t="s">
        <v>19</v>
      </c>
      <c r="C16" s="49"/>
      <c r="D16" s="50"/>
      <c r="E16" s="50"/>
      <c r="F16" s="50"/>
    </row>
    <row r="17" spans="1:10" ht="16.899999999999999" customHeight="1">
      <c r="A17" s="8" t="s">
        <v>20</v>
      </c>
      <c r="B17" s="9" t="s">
        <v>33</v>
      </c>
      <c r="C17" s="49"/>
      <c r="D17" s="50"/>
      <c r="E17" s="50"/>
      <c r="F17" s="50"/>
    </row>
    <row r="18" spans="1:10" ht="16.899999999999999" customHeight="1">
      <c r="A18" s="8" t="s">
        <v>21</v>
      </c>
      <c r="B18" s="9" t="s">
        <v>22</v>
      </c>
      <c r="C18" s="49"/>
      <c r="D18" s="50"/>
      <c r="E18" s="50"/>
      <c r="F18" s="50"/>
    </row>
    <row r="19" spans="1:10" ht="16.899999999999999" customHeight="1">
      <c r="A19" s="8" t="s">
        <v>23</v>
      </c>
      <c r="B19" s="9" t="s">
        <v>5</v>
      </c>
      <c r="C19" s="49"/>
      <c r="D19" s="50"/>
      <c r="E19" s="50"/>
      <c r="F19" s="50"/>
    </row>
    <row r="20" spans="1:10" ht="16.899999999999999" customHeight="1">
      <c r="A20" s="8" t="s">
        <v>20</v>
      </c>
      <c r="B20" s="25" t="s">
        <v>24</v>
      </c>
      <c r="C20" s="49"/>
      <c r="D20" s="50"/>
      <c r="E20" s="50"/>
      <c r="F20" s="50"/>
    </row>
    <row r="21" spans="1:10" ht="16.899999999999999" customHeight="1">
      <c r="A21" s="8" t="s">
        <v>21</v>
      </c>
      <c r="B21" s="9" t="s">
        <v>25</v>
      </c>
      <c r="C21" s="49"/>
      <c r="D21" s="50"/>
      <c r="E21" s="50"/>
      <c r="F21" s="50"/>
    </row>
    <row r="22" spans="1:10" ht="16.899999999999999" customHeight="1">
      <c r="A22" s="24">
        <v>3</v>
      </c>
      <c r="B22" s="9" t="s">
        <v>26</v>
      </c>
      <c r="C22" s="49"/>
      <c r="D22" s="50"/>
      <c r="E22" s="50"/>
      <c r="F22" s="50"/>
    </row>
    <row r="23" spans="1:10" ht="16.899999999999999" customHeight="1">
      <c r="A23" s="8" t="s">
        <v>27</v>
      </c>
      <c r="B23" s="9" t="s">
        <v>14</v>
      </c>
      <c r="C23" s="50"/>
      <c r="D23" s="50"/>
      <c r="E23" s="50"/>
      <c r="F23" s="50"/>
      <c r="J23" s="21">
        <v>7476647947.3099995</v>
      </c>
    </row>
    <row r="24" spans="1:10" ht="16.899999999999999" customHeight="1">
      <c r="A24" s="8" t="s">
        <v>28</v>
      </c>
      <c r="B24" s="9" t="s">
        <v>16</v>
      </c>
      <c r="C24" s="49"/>
      <c r="D24" s="50"/>
      <c r="E24" s="50"/>
      <c r="F24" s="50"/>
      <c r="J24" s="21">
        <v>112985000</v>
      </c>
    </row>
    <row r="25" spans="1:10" s="20" customFormat="1" ht="16.899999999999999" customHeight="1">
      <c r="A25" s="26" t="s">
        <v>1</v>
      </c>
      <c r="B25" s="7" t="s">
        <v>29</v>
      </c>
      <c r="C25" s="52"/>
      <c r="D25" s="43"/>
      <c r="E25" s="43"/>
      <c r="F25" s="43"/>
    </row>
    <row r="26" spans="1:10" ht="16.899999999999999" customHeight="1">
      <c r="A26" s="24">
        <v>1</v>
      </c>
      <c r="B26" s="9" t="s">
        <v>5</v>
      </c>
      <c r="C26" s="49"/>
      <c r="D26" s="50"/>
      <c r="E26" s="50"/>
      <c r="F26" s="50"/>
    </row>
    <row r="27" spans="1:10" s="35" customFormat="1" ht="16.899999999999999" customHeight="1">
      <c r="A27" s="33" t="s">
        <v>13</v>
      </c>
      <c r="B27" s="34" t="s">
        <v>24</v>
      </c>
      <c r="C27" s="53">
        <f>C28+C30+C32+C38+C43+C57</f>
        <v>7476647947.3099995</v>
      </c>
      <c r="D27" s="53">
        <f>D28+D30+D32+D38+D43+D57</f>
        <v>3753732256</v>
      </c>
      <c r="E27" s="53">
        <f t="shared" ref="E27:F27" si="2">E28+E30+E32+E38+E43+E57</f>
        <v>6.0400376354216432</v>
      </c>
      <c r="F27" s="53">
        <f t="shared" si="2"/>
        <v>0</v>
      </c>
      <c r="H27" s="42">
        <f>3266215381-D27</f>
        <v>-487516875</v>
      </c>
    </row>
    <row r="28" spans="1:10" s="57" customFormat="1" ht="15.75">
      <c r="A28" s="99"/>
      <c r="B28" s="37" t="s">
        <v>62</v>
      </c>
      <c r="C28" s="81">
        <f>SUM(C29)</f>
        <v>3296327880</v>
      </c>
      <c r="D28" s="81">
        <f t="shared" ref="D28:F28" si="3">SUM(D29)</f>
        <v>1654987699</v>
      </c>
      <c r="E28" s="44">
        <f>D28/C28*100%</f>
        <v>0.50207010929992801</v>
      </c>
      <c r="F28" s="81">
        <f t="shared" si="3"/>
        <v>0</v>
      </c>
    </row>
    <row r="29" spans="1:10" s="3" customFormat="1">
      <c r="A29" s="92"/>
      <c r="B29" s="38" t="s">
        <v>153</v>
      </c>
      <c r="C29" s="94">
        <f>183.6*1490000*12+13559880</f>
        <v>3296327880</v>
      </c>
      <c r="D29" s="97">
        <v>1654987699</v>
      </c>
      <c r="E29" s="51">
        <f>D29/C29*100%</f>
        <v>0.50207010929992801</v>
      </c>
      <c r="F29" s="93"/>
    </row>
    <row r="30" spans="1:10" s="56" customFormat="1">
      <c r="A30" s="100"/>
      <c r="B30" s="37" t="s">
        <v>110</v>
      </c>
      <c r="C30" s="81">
        <f>SUM(C31)</f>
        <v>174120000</v>
      </c>
      <c r="D30" s="81">
        <f t="shared" ref="D30:F30" si="4">SUM(D31)</f>
        <v>55824600</v>
      </c>
      <c r="E30" s="44">
        <f t="shared" ref="E30:E93" si="5">D30/C30*100%</f>
        <v>0.32060992419021367</v>
      </c>
      <c r="F30" s="81">
        <f t="shared" si="4"/>
        <v>0</v>
      </c>
    </row>
    <row r="31" spans="1:10">
      <c r="A31" s="93"/>
      <c r="B31" s="38" t="s">
        <v>154</v>
      </c>
      <c r="C31" s="82">
        <f>4420000*3*12+15000000</f>
        <v>174120000</v>
      </c>
      <c r="D31" s="97">
        <v>55824600</v>
      </c>
      <c r="E31" s="51">
        <f t="shared" si="5"/>
        <v>0.32060992419021367</v>
      </c>
      <c r="F31" s="93"/>
    </row>
    <row r="32" spans="1:10" s="56" customFormat="1">
      <c r="A32" s="100"/>
      <c r="B32" s="37" t="s">
        <v>50</v>
      </c>
      <c r="C32" s="81">
        <f>SUM(C33:C37)</f>
        <v>1171297908</v>
      </c>
      <c r="D32" s="81">
        <f t="shared" ref="D32:F32" si="6">SUM(D33:D37)</f>
        <v>733411800</v>
      </c>
      <c r="E32" s="44">
        <f t="shared" si="5"/>
        <v>0.62615308623944033</v>
      </c>
      <c r="F32" s="81">
        <f t="shared" si="6"/>
        <v>0</v>
      </c>
    </row>
    <row r="33" spans="1:6">
      <c r="A33" s="93"/>
      <c r="B33" s="38" t="s">
        <v>111</v>
      </c>
      <c r="C33" s="82">
        <v>59531999.999999993</v>
      </c>
      <c r="D33" s="97">
        <v>35505213</v>
      </c>
      <c r="E33" s="51">
        <f t="shared" si="5"/>
        <v>0.59640551300141109</v>
      </c>
      <c r="F33" s="93"/>
    </row>
    <row r="34" spans="1:6">
      <c r="A34" s="93"/>
      <c r="B34" s="38" t="s">
        <v>155</v>
      </c>
      <c r="C34" s="82">
        <v>731982240</v>
      </c>
      <c r="D34" s="97">
        <v>448479570</v>
      </c>
      <c r="E34" s="51">
        <f t="shared" si="5"/>
        <v>0.61269187350775067</v>
      </c>
      <c r="F34" s="93"/>
    </row>
    <row r="35" spans="1:6">
      <c r="A35" s="93"/>
      <c r="B35" s="38" t="s">
        <v>63</v>
      </c>
      <c r="C35" s="82">
        <v>4356000</v>
      </c>
      <c r="D35" s="97">
        <v>2235000</v>
      </c>
      <c r="E35" s="51">
        <f t="shared" si="5"/>
        <v>0.51308539944903586</v>
      </c>
      <c r="F35" s="93"/>
    </row>
    <row r="36" spans="1:6">
      <c r="A36" s="93"/>
      <c r="B36" s="38" t="s">
        <v>112</v>
      </c>
      <c r="C36" s="82">
        <v>348093768.00000006</v>
      </c>
      <c r="D36" s="97">
        <v>247192017</v>
      </c>
      <c r="E36" s="51">
        <f t="shared" si="5"/>
        <v>0.7101305444801872</v>
      </c>
      <c r="F36" s="93"/>
    </row>
    <row r="37" spans="1:6">
      <c r="A37" s="93"/>
      <c r="B37" s="38" t="s">
        <v>156</v>
      </c>
      <c r="C37" s="82">
        <v>27333900</v>
      </c>
      <c r="D37" s="97"/>
      <c r="E37" s="51">
        <f t="shared" si="5"/>
        <v>0</v>
      </c>
      <c r="F37" s="93"/>
    </row>
    <row r="38" spans="1:6" s="56" customFormat="1">
      <c r="A38" s="100"/>
      <c r="B38" s="37" t="s">
        <v>49</v>
      </c>
      <c r="C38" s="81">
        <f>SUM(C39:C42)</f>
        <v>126837475.31999999</v>
      </c>
      <c r="D38" s="81">
        <f t="shared" ref="D38:F38" si="7">SUM(D39:D42)</f>
        <v>521786032</v>
      </c>
      <c r="E38" s="44">
        <f t="shared" si="5"/>
        <v>4.1138159734225148</v>
      </c>
      <c r="F38" s="81">
        <f t="shared" si="7"/>
        <v>0</v>
      </c>
    </row>
    <row r="39" spans="1:6">
      <c r="A39" s="93"/>
      <c r="B39" s="38" t="s">
        <v>113</v>
      </c>
      <c r="C39" s="82">
        <v>90292695.239999995</v>
      </c>
      <c r="D39" s="97">
        <v>389116776</v>
      </c>
      <c r="E39" s="51">
        <f t="shared" si="5"/>
        <v>4.3095044949729209</v>
      </c>
      <c r="F39" s="93"/>
    </row>
    <row r="40" spans="1:6">
      <c r="A40" s="93"/>
      <c r="B40" s="38" t="s">
        <v>64</v>
      </c>
      <c r="C40" s="82">
        <v>18272390.039999999</v>
      </c>
      <c r="D40" s="97">
        <v>66705733</v>
      </c>
      <c r="E40" s="51">
        <f t="shared" si="5"/>
        <v>3.6506298767689835</v>
      </c>
      <c r="F40" s="93"/>
    </row>
    <row r="41" spans="1:6">
      <c r="A41" s="93"/>
      <c r="B41" s="38" t="s">
        <v>65</v>
      </c>
      <c r="C41" s="82">
        <v>12181593.359999999</v>
      </c>
      <c r="D41" s="97">
        <v>44470489</v>
      </c>
      <c r="E41" s="51">
        <f t="shared" si="5"/>
        <v>3.6506299041326726</v>
      </c>
      <c r="F41" s="93"/>
    </row>
    <row r="42" spans="1:6">
      <c r="A42" s="93"/>
      <c r="B42" s="38" t="s">
        <v>66</v>
      </c>
      <c r="C42" s="82">
        <v>6090796.6799999997</v>
      </c>
      <c r="D42" s="97">
        <v>21493034</v>
      </c>
      <c r="E42" s="51">
        <f t="shared" si="5"/>
        <v>3.5287721999612045</v>
      </c>
      <c r="F42" s="93"/>
    </row>
    <row r="43" spans="1:6" s="56" customFormat="1" ht="47.25">
      <c r="A43" s="100"/>
      <c r="B43" s="95" t="s">
        <v>157</v>
      </c>
      <c r="C43" s="83">
        <f>C44+C46+C52</f>
        <v>1057999683.99</v>
      </c>
      <c r="D43" s="83">
        <f t="shared" ref="D43:F43" si="8">D44+D46+D52</f>
        <v>0</v>
      </c>
      <c r="E43" s="44">
        <f t="shared" si="5"/>
        <v>0</v>
      </c>
      <c r="F43" s="83">
        <f t="shared" si="8"/>
        <v>0</v>
      </c>
    </row>
    <row r="44" spans="1:6" s="56" customFormat="1">
      <c r="A44" s="100"/>
      <c r="B44" s="37" t="s">
        <v>62</v>
      </c>
      <c r="C44" s="81">
        <f>SUM(C45)</f>
        <v>618004058</v>
      </c>
      <c r="D44" s="101"/>
      <c r="E44" s="44">
        <f t="shared" si="5"/>
        <v>0</v>
      </c>
      <c r="F44" s="100"/>
    </row>
    <row r="45" spans="1:6">
      <c r="A45" s="93"/>
      <c r="B45" s="38" t="s">
        <v>153</v>
      </c>
      <c r="C45" s="94">
        <v>618004058</v>
      </c>
      <c r="D45" s="97"/>
      <c r="E45" s="51">
        <f t="shared" si="5"/>
        <v>0</v>
      </c>
      <c r="F45" s="93"/>
    </row>
    <row r="46" spans="1:6" s="56" customFormat="1">
      <c r="A46" s="100"/>
      <c r="B46" s="37" t="s">
        <v>50</v>
      </c>
      <c r="C46" s="81">
        <f>SUM(C47:C51)</f>
        <v>271049709</v>
      </c>
      <c r="D46" s="101"/>
      <c r="E46" s="44">
        <f t="shared" si="5"/>
        <v>0</v>
      </c>
      <c r="F46" s="100"/>
    </row>
    <row r="47" spans="1:6">
      <c r="A47" s="93"/>
      <c r="B47" s="38" t="s">
        <v>111</v>
      </c>
      <c r="C47" s="82">
        <v>13776176</v>
      </c>
      <c r="D47" s="97"/>
      <c r="E47" s="51">
        <f t="shared" si="5"/>
        <v>0</v>
      </c>
      <c r="F47" s="93"/>
    </row>
    <row r="48" spans="1:6">
      <c r="A48" s="93"/>
      <c r="B48" s="38" t="s">
        <v>155</v>
      </c>
      <c r="C48" s="82">
        <v>169384333</v>
      </c>
      <c r="D48" s="97"/>
      <c r="E48" s="51">
        <f t="shared" si="5"/>
        <v>0</v>
      </c>
      <c r="F48" s="93"/>
    </row>
    <row r="49" spans="1:6">
      <c r="A49" s="93"/>
      <c r="B49" s="38" t="s">
        <v>63</v>
      </c>
      <c r="C49" s="82">
        <v>1008000</v>
      </c>
      <c r="D49" s="97"/>
      <c r="E49" s="51">
        <f t="shared" si="5"/>
        <v>0</v>
      </c>
      <c r="F49" s="93"/>
    </row>
    <row r="50" spans="1:6">
      <c r="A50" s="93"/>
      <c r="B50" s="38" t="s">
        <v>112</v>
      </c>
      <c r="C50" s="82">
        <v>80556000</v>
      </c>
      <c r="D50" s="97"/>
      <c r="E50" s="51">
        <f t="shared" si="5"/>
        <v>0</v>
      </c>
      <c r="F50" s="93"/>
    </row>
    <row r="51" spans="1:6">
      <c r="A51" s="93"/>
      <c r="B51" s="38" t="s">
        <v>156</v>
      </c>
      <c r="C51" s="82">
        <v>6325200</v>
      </c>
      <c r="D51" s="97"/>
      <c r="E51" s="51">
        <f t="shared" si="5"/>
        <v>0</v>
      </c>
      <c r="F51" s="93"/>
    </row>
    <row r="52" spans="1:6" s="56" customFormat="1">
      <c r="A52" s="100"/>
      <c r="B52" s="37" t="s">
        <v>49</v>
      </c>
      <c r="C52" s="81">
        <f>SUM(C53:C56)</f>
        <v>168945916.99000001</v>
      </c>
      <c r="D52" s="101"/>
      <c r="E52" s="44">
        <f t="shared" si="5"/>
        <v>0</v>
      </c>
      <c r="F52" s="100"/>
    </row>
    <row r="53" spans="1:6">
      <c r="A53" s="93"/>
      <c r="B53" s="38" t="s">
        <v>113</v>
      </c>
      <c r="C53" s="82">
        <v>125765750.94999999</v>
      </c>
      <c r="D53" s="97"/>
      <c r="E53" s="51">
        <f t="shared" si="5"/>
        <v>0</v>
      </c>
      <c r="F53" s="93"/>
    </row>
    <row r="54" spans="1:6">
      <c r="A54" s="93"/>
      <c r="B54" s="38" t="s">
        <v>64</v>
      </c>
      <c r="C54" s="82">
        <v>21590083.02</v>
      </c>
      <c r="D54" s="97"/>
      <c r="E54" s="51">
        <f t="shared" si="5"/>
        <v>0</v>
      </c>
      <c r="F54" s="93"/>
    </row>
    <row r="55" spans="1:6">
      <c r="A55" s="93"/>
      <c r="B55" s="38" t="s">
        <v>65</v>
      </c>
      <c r="C55" s="82">
        <v>14393388.68</v>
      </c>
      <c r="D55" s="97"/>
      <c r="E55" s="51">
        <f t="shared" si="5"/>
        <v>0</v>
      </c>
      <c r="F55" s="93"/>
    </row>
    <row r="56" spans="1:6">
      <c r="A56" s="93"/>
      <c r="B56" s="38" t="s">
        <v>66</v>
      </c>
      <c r="C56" s="82">
        <v>7196694.3399999999</v>
      </c>
      <c r="D56" s="97"/>
      <c r="E56" s="51">
        <f t="shared" si="5"/>
        <v>0</v>
      </c>
      <c r="F56" s="93"/>
    </row>
    <row r="57" spans="1:6" s="56" customFormat="1">
      <c r="A57" s="100"/>
      <c r="B57" s="39" t="s">
        <v>41</v>
      </c>
      <c r="C57" s="84">
        <f>C58+C60+C64+C71+C76+C81+C88+C95+C147+C152</f>
        <v>1650065000</v>
      </c>
      <c r="D57" s="84">
        <f t="shared" ref="D57:F57" si="9">D58+D60+D64+D71+D76+D81+D88+D95</f>
        <v>787722125</v>
      </c>
      <c r="E57" s="44">
        <f t="shared" si="5"/>
        <v>0.47738854226954697</v>
      </c>
      <c r="F57" s="84">
        <f t="shared" si="9"/>
        <v>0</v>
      </c>
    </row>
    <row r="58" spans="1:6" s="56" customFormat="1">
      <c r="A58" s="100"/>
      <c r="B58" s="37" t="s">
        <v>51</v>
      </c>
      <c r="C58" s="81">
        <f>C59</f>
        <v>40766400</v>
      </c>
      <c r="D58" s="81">
        <f t="shared" ref="D58:F58" si="10">D59</f>
        <v>75349285</v>
      </c>
      <c r="E58" s="44">
        <f t="shared" si="5"/>
        <v>1.8483183455002159</v>
      </c>
      <c r="F58" s="81">
        <f t="shared" si="10"/>
        <v>0</v>
      </c>
    </row>
    <row r="59" spans="1:6">
      <c r="A59" s="93"/>
      <c r="B59" s="38" t="s">
        <v>223</v>
      </c>
      <c r="C59" s="82">
        <f>38*36*2*14900</f>
        <v>40766400</v>
      </c>
      <c r="D59" s="97">
        <v>75349285</v>
      </c>
      <c r="E59" s="51">
        <f t="shared" si="5"/>
        <v>1.8483183455002159</v>
      </c>
      <c r="F59" s="93"/>
    </row>
    <row r="60" spans="1:6" s="56" customFormat="1">
      <c r="A60" s="100"/>
      <c r="B60" s="37" t="s">
        <v>67</v>
      </c>
      <c r="C60" s="81">
        <f>SUM(C61:C63)</f>
        <v>180232599</v>
      </c>
      <c r="D60" s="81">
        <f t="shared" ref="D60:F60" si="11">SUM(D61:D63)</f>
        <v>91519540</v>
      </c>
      <c r="E60" s="44">
        <f t="shared" si="5"/>
        <v>0.50778571971877295</v>
      </c>
      <c r="F60" s="81">
        <f t="shared" si="11"/>
        <v>0</v>
      </c>
    </row>
    <row r="61" spans="1:6">
      <c r="A61" s="93"/>
      <c r="B61" s="38" t="s">
        <v>114</v>
      </c>
      <c r="C61" s="82">
        <f>12*15000000-4807401</f>
        <v>175192599</v>
      </c>
      <c r="D61" s="97">
        <v>91519540</v>
      </c>
      <c r="E61" s="51">
        <f t="shared" si="5"/>
        <v>0.52239387121598668</v>
      </c>
      <c r="F61" s="93"/>
    </row>
    <row r="62" spans="1:6">
      <c r="A62" s="93"/>
      <c r="B62" s="38" t="s">
        <v>68</v>
      </c>
      <c r="C62" s="82">
        <f>20*15000*12</f>
        <v>3600000</v>
      </c>
      <c r="D62" s="97"/>
      <c r="E62" s="51">
        <f t="shared" si="5"/>
        <v>0</v>
      </c>
      <c r="F62" s="93"/>
    </row>
    <row r="63" spans="1:6">
      <c r="A63" s="93"/>
      <c r="B63" s="38" t="s">
        <v>69</v>
      </c>
      <c r="C63" s="82">
        <f>120000*12</f>
        <v>1440000</v>
      </c>
      <c r="D63" s="97"/>
      <c r="E63" s="51">
        <f t="shared" si="5"/>
        <v>0</v>
      </c>
      <c r="F63" s="93"/>
    </row>
    <row r="64" spans="1:6" s="56" customFormat="1">
      <c r="A64" s="100"/>
      <c r="B64" s="37" t="s">
        <v>70</v>
      </c>
      <c r="C64" s="81">
        <f>SUM(C65:C70)</f>
        <v>151554301</v>
      </c>
      <c r="D64" s="81">
        <f t="shared" ref="D64:F64" si="12">SUM(D65:D70)</f>
        <v>101317139</v>
      </c>
      <c r="E64" s="44">
        <f t="shared" si="5"/>
        <v>0.66852038069180231</v>
      </c>
      <c r="F64" s="81">
        <f t="shared" si="12"/>
        <v>0</v>
      </c>
    </row>
    <row r="65" spans="1:6">
      <c r="A65" s="93"/>
      <c r="B65" s="38" t="s">
        <v>71</v>
      </c>
      <c r="C65" s="82">
        <f>15*88000*12+600001+15000000+1000000</f>
        <v>32440001</v>
      </c>
      <c r="D65" s="97"/>
      <c r="E65" s="51">
        <f t="shared" si="5"/>
        <v>0</v>
      </c>
      <c r="F65" s="93"/>
    </row>
    <row r="66" spans="1:6">
      <c r="A66" s="93"/>
      <c r="B66" s="38" t="s">
        <v>72</v>
      </c>
      <c r="C66" s="82">
        <f>88000*2*5*2+8000000</f>
        <v>9760000</v>
      </c>
      <c r="D66" s="97"/>
      <c r="E66" s="51">
        <f t="shared" si="5"/>
        <v>0</v>
      </c>
      <c r="F66" s="93"/>
    </row>
    <row r="67" spans="1:6">
      <c r="A67" s="93"/>
      <c r="B67" s="38" t="s">
        <v>73</v>
      </c>
      <c r="C67" s="82">
        <f>300*88000</f>
        <v>26400000</v>
      </c>
      <c r="D67" s="97">
        <v>16035000</v>
      </c>
      <c r="E67" s="51">
        <f t="shared" si="5"/>
        <v>0.60738636363636367</v>
      </c>
      <c r="F67" s="93"/>
    </row>
    <row r="68" spans="1:6">
      <c r="A68" s="93"/>
      <c r="B68" s="38" t="s">
        <v>74</v>
      </c>
      <c r="C68" s="82">
        <f>60000000+3954300</f>
        <v>63954300</v>
      </c>
      <c r="D68" s="97">
        <v>85282139</v>
      </c>
      <c r="E68" s="51">
        <f t="shared" si="5"/>
        <v>1.3334856139462086</v>
      </c>
      <c r="F68" s="93"/>
    </row>
    <row r="69" spans="1:6">
      <c r="A69" s="93"/>
      <c r="B69" s="38" t="s">
        <v>115</v>
      </c>
      <c r="C69" s="82">
        <f>10*5*160000</f>
        <v>8000000</v>
      </c>
      <c r="D69" s="97"/>
      <c r="E69" s="51">
        <f t="shared" si="5"/>
        <v>0</v>
      </c>
      <c r="F69" s="93"/>
    </row>
    <row r="70" spans="1:6">
      <c r="A70" s="93"/>
      <c r="B70" s="38" t="s">
        <v>116</v>
      </c>
      <c r="C70" s="82">
        <f>1100000*10</f>
        <v>11000000</v>
      </c>
      <c r="D70" s="97"/>
      <c r="E70" s="51">
        <f t="shared" si="5"/>
        <v>0</v>
      </c>
      <c r="F70" s="93"/>
    </row>
    <row r="71" spans="1:6" s="56" customFormat="1">
      <c r="A71" s="100"/>
      <c r="B71" s="37" t="s">
        <v>53</v>
      </c>
      <c r="C71" s="81">
        <f>SUM(C72:C75)</f>
        <v>21320000</v>
      </c>
      <c r="D71" s="81">
        <f t="shared" ref="D71:F71" si="13">SUM(D72:D75)</f>
        <v>7281091</v>
      </c>
      <c r="E71" s="44">
        <f t="shared" si="5"/>
        <v>0.34151458724202627</v>
      </c>
      <c r="F71" s="81">
        <f t="shared" si="13"/>
        <v>0</v>
      </c>
    </row>
    <row r="72" spans="1:6">
      <c r="A72" s="93"/>
      <c r="B72" s="38" t="s">
        <v>75</v>
      </c>
      <c r="C72" s="82">
        <f>150000*2*12</f>
        <v>3600000</v>
      </c>
      <c r="D72" s="97">
        <v>860308</v>
      </c>
      <c r="E72" s="51">
        <f t="shared" si="5"/>
        <v>0.23897444444444443</v>
      </c>
      <c r="F72" s="93"/>
    </row>
    <row r="73" spans="1:6">
      <c r="A73" s="93"/>
      <c r="B73" s="38" t="s">
        <v>76</v>
      </c>
      <c r="C73" s="82">
        <f>(660000)*12</f>
        <v>7920000</v>
      </c>
      <c r="D73" s="97">
        <v>4020783</v>
      </c>
      <c r="E73" s="51">
        <f t="shared" si="5"/>
        <v>0.50767462121212126</v>
      </c>
      <c r="F73" s="93"/>
    </row>
    <row r="74" spans="1:6">
      <c r="A74" s="93"/>
      <c r="B74" s="38" t="s">
        <v>77</v>
      </c>
      <c r="C74" s="82">
        <v>4800000</v>
      </c>
      <c r="D74" s="97">
        <v>2400000</v>
      </c>
      <c r="E74" s="51">
        <f t="shared" si="5"/>
        <v>0.5</v>
      </c>
      <c r="F74" s="93"/>
    </row>
    <row r="75" spans="1:6">
      <c r="A75" s="93"/>
      <c r="B75" s="38" t="s">
        <v>78</v>
      </c>
      <c r="C75" s="82">
        <v>5000000</v>
      </c>
      <c r="D75" s="97"/>
      <c r="E75" s="51">
        <f t="shared" si="5"/>
        <v>0</v>
      </c>
      <c r="F75" s="93"/>
    </row>
    <row r="76" spans="1:6" s="56" customFormat="1">
      <c r="A76" s="100"/>
      <c r="B76" s="37" t="s">
        <v>54</v>
      </c>
      <c r="C76" s="81">
        <f>SUM(C77:C80)</f>
        <v>147000000</v>
      </c>
      <c r="D76" s="81">
        <f t="shared" ref="D76:F76" si="14">SUM(D77:D80)</f>
        <v>9000000</v>
      </c>
      <c r="E76" s="44">
        <f t="shared" si="5"/>
        <v>6.1224489795918366E-2</v>
      </c>
      <c r="F76" s="81">
        <f t="shared" si="14"/>
        <v>0</v>
      </c>
    </row>
    <row r="77" spans="1:6">
      <c r="A77" s="93"/>
      <c r="B77" s="38" t="s">
        <v>117</v>
      </c>
      <c r="C77" s="82">
        <f>3000*14000</f>
        <v>42000000</v>
      </c>
      <c r="D77" s="97"/>
      <c r="E77" s="51">
        <f t="shared" si="5"/>
        <v>0</v>
      </c>
      <c r="F77" s="93"/>
    </row>
    <row r="78" spans="1:6">
      <c r="A78" s="93"/>
      <c r="B78" s="38" t="s">
        <v>118</v>
      </c>
      <c r="C78" s="82">
        <f>1500*50000</f>
        <v>75000000</v>
      </c>
      <c r="D78" s="97"/>
      <c r="E78" s="51">
        <f t="shared" si="5"/>
        <v>0</v>
      </c>
      <c r="F78" s="93"/>
    </row>
    <row r="79" spans="1:6">
      <c r="A79" s="93"/>
      <c r="B79" s="38" t="s">
        <v>119</v>
      </c>
      <c r="C79" s="82">
        <f>30*400000</f>
        <v>12000000</v>
      </c>
      <c r="D79" s="97"/>
      <c r="E79" s="51">
        <f t="shared" si="5"/>
        <v>0</v>
      </c>
      <c r="F79" s="93"/>
    </row>
    <row r="80" spans="1:6">
      <c r="A80" s="93"/>
      <c r="B80" s="38" t="s">
        <v>79</v>
      </c>
      <c r="C80" s="82">
        <f>500000*3*12</f>
        <v>18000000</v>
      </c>
      <c r="D80" s="97">
        <v>9000000</v>
      </c>
      <c r="E80" s="51">
        <f t="shared" si="5"/>
        <v>0.5</v>
      </c>
      <c r="F80" s="93"/>
    </row>
    <row r="81" spans="1:8" s="56" customFormat="1">
      <c r="A81" s="100"/>
      <c r="B81" s="37" t="s">
        <v>55</v>
      </c>
      <c r="C81" s="81">
        <f>SUM(C82:C87)</f>
        <v>196800000</v>
      </c>
      <c r="D81" s="81">
        <f t="shared" ref="D81:F81" si="15">SUM(D82:D87)</f>
        <v>259112510</v>
      </c>
      <c r="E81" s="44">
        <f t="shared" si="5"/>
        <v>1.3166286077235771</v>
      </c>
      <c r="F81" s="81">
        <f t="shared" si="15"/>
        <v>0</v>
      </c>
    </row>
    <row r="82" spans="1:8">
      <c r="A82" s="93"/>
      <c r="B82" s="40" t="s">
        <v>120</v>
      </c>
      <c r="C82" s="82">
        <v>10000000</v>
      </c>
      <c r="D82" s="97"/>
      <c r="E82" s="51">
        <f t="shared" si="5"/>
        <v>0</v>
      </c>
      <c r="F82" s="93"/>
    </row>
    <row r="83" spans="1:8" ht="31.5">
      <c r="A83" s="93"/>
      <c r="B83" s="40" t="s">
        <v>121</v>
      </c>
      <c r="C83" s="82">
        <f>500000*12</f>
        <v>6000000</v>
      </c>
      <c r="D83" s="97"/>
      <c r="E83" s="51">
        <f t="shared" si="5"/>
        <v>0</v>
      </c>
      <c r="F83" s="93"/>
    </row>
    <row r="84" spans="1:8" ht="31.5">
      <c r="A84" s="93"/>
      <c r="B84" s="40" t="s">
        <v>122</v>
      </c>
      <c r="C84" s="82">
        <f>7200000*9</f>
        <v>64800000</v>
      </c>
      <c r="D84" s="97">
        <v>178062510</v>
      </c>
      <c r="E84" s="51">
        <f t="shared" si="5"/>
        <v>2.7478782407407407</v>
      </c>
      <c r="F84" s="93"/>
      <c r="H84" s="98"/>
    </row>
    <row r="85" spans="1:8" ht="31.5">
      <c r="A85" s="93"/>
      <c r="B85" s="40" t="s">
        <v>80</v>
      </c>
      <c r="C85" s="82">
        <f>4000000*9</f>
        <v>36000000</v>
      </c>
      <c r="D85" s="97">
        <f>4*6000000</f>
        <v>24000000</v>
      </c>
      <c r="E85" s="51">
        <f t="shared" si="5"/>
        <v>0.66666666666666663</v>
      </c>
      <c r="F85" s="93"/>
    </row>
    <row r="86" spans="1:8">
      <c r="A86" s="93"/>
      <c r="B86" s="40" t="s">
        <v>81</v>
      </c>
      <c r="C86" s="82">
        <v>30000000</v>
      </c>
      <c r="D86" s="97"/>
      <c r="E86" s="51">
        <f t="shared" si="5"/>
        <v>0</v>
      </c>
      <c r="F86" s="93"/>
    </row>
    <row r="87" spans="1:8">
      <c r="A87" s="93"/>
      <c r="B87" s="40" t="s">
        <v>123</v>
      </c>
      <c r="C87" s="82">
        <v>50000000</v>
      </c>
      <c r="D87" s="97">
        <v>57050000</v>
      </c>
      <c r="E87" s="51">
        <f t="shared" si="5"/>
        <v>1.141</v>
      </c>
      <c r="F87" s="93"/>
    </row>
    <row r="88" spans="1:8" s="56" customFormat="1">
      <c r="A88" s="100"/>
      <c r="B88" s="37" t="s">
        <v>82</v>
      </c>
      <c r="C88" s="81">
        <f>SUM(C89:C94)</f>
        <v>350363960</v>
      </c>
      <c r="D88" s="81">
        <f t="shared" ref="D88:F88" si="16">SUM(D89:D94)</f>
        <v>97790760</v>
      </c>
      <c r="E88" s="44">
        <f t="shared" si="5"/>
        <v>0.27911192692307735</v>
      </c>
      <c r="F88" s="81">
        <f t="shared" si="16"/>
        <v>0</v>
      </c>
    </row>
    <row r="89" spans="1:8" ht="31.5">
      <c r="A89" s="93"/>
      <c r="B89" s="41" t="s">
        <v>83</v>
      </c>
      <c r="C89" s="82">
        <v>60000000</v>
      </c>
      <c r="D89" s="97">
        <v>30627760</v>
      </c>
      <c r="E89" s="51">
        <f t="shared" si="5"/>
        <v>0.51046266666666662</v>
      </c>
      <c r="F89" s="93"/>
    </row>
    <row r="90" spans="1:8">
      <c r="A90" s="93"/>
      <c r="B90" s="41" t="s">
        <v>84</v>
      </c>
      <c r="C90" s="82">
        <f>1560000+20000000</f>
        <v>21560000</v>
      </c>
      <c r="D90" s="97">
        <v>7550000</v>
      </c>
      <c r="E90" s="51">
        <f t="shared" si="5"/>
        <v>0.35018552875695735</v>
      </c>
      <c r="F90" s="93"/>
    </row>
    <row r="91" spans="1:8">
      <c r="A91" s="93"/>
      <c r="B91" s="41" t="s">
        <v>85</v>
      </c>
      <c r="C91" s="82">
        <v>20000000</v>
      </c>
      <c r="E91" s="51">
        <f t="shared" si="5"/>
        <v>0</v>
      </c>
      <c r="F91" s="93"/>
    </row>
    <row r="92" spans="1:8">
      <c r="A92" s="93"/>
      <c r="B92" s="41" t="s">
        <v>86</v>
      </c>
      <c r="C92" s="82">
        <v>90000000</v>
      </c>
      <c r="D92" s="97">
        <v>48165000</v>
      </c>
      <c r="E92" s="51">
        <f t="shared" si="5"/>
        <v>0.53516666666666668</v>
      </c>
      <c r="F92" s="93"/>
    </row>
    <row r="93" spans="1:8">
      <c r="A93" s="93"/>
      <c r="B93" s="41" t="s">
        <v>87</v>
      </c>
      <c r="C93" s="82">
        <v>90000000</v>
      </c>
      <c r="D93" s="97"/>
      <c r="E93" s="51">
        <f t="shared" si="5"/>
        <v>0</v>
      </c>
      <c r="F93" s="93"/>
    </row>
    <row r="94" spans="1:8">
      <c r="A94" s="93"/>
      <c r="B94" s="41" t="s">
        <v>88</v>
      </c>
      <c r="C94" s="82">
        <f>13703960+25100000+20000000+10000000</f>
        <v>68803960</v>
      </c>
      <c r="D94" s="97">
        <v>11448000</v>
      </c>
      <c r="E94" s="51">
        <f t="shared" ref="E94:E157" si="17">D94/C94*100%</f>
        <v>0.16638577198172896</v>
      </c>
      <c r="F94" s="93"/>
    </row>
    <row r="95" spans="1:8" s="56" customFormat="1">
      <c r="A95" s="100"/>
      <c r="B95" s="37" t="s">
        <v>41</v>
      </c>
      <c r="C95" s="81">
        <f>SUM(C96:C146)</f>
        <v>488767540</v>
      </c>
      <c r="D95" s="81">
        <f t="shared" ref="D95:F95" si="18">SUM(D96:D146)</f>
        <v>146351800</v>
      </c>
      <c r="E95" s="44">
        <f t="shared" si="17"/>
        <v>0.29943027722340154</v>
      </c>
      <c r="F95" s="81">
        <f t="shared" si="18"/>
        <v>0</v>
      </c>
    </row>
    <row r="96" spans="1:8">
      <c r="A96" s="93"/>
      <c r="B96" s="41" t="s">
        <v>89</v>
      </c>
      <c r="C96" s="82">
        <f>8833740+39804000+2000000+20000000</f>
        <v>70637740</v>
      </c>
      <c r="D96" s="97">
        <v>53506000</v>
      </c>
      <c r="E96" s="51">
        <f t="shared" si="17"/>
        <v>0.75747044002257147</v>
      </c>
      <c r="F96" s="93"/>
    </row>
    <row r="97" spans="1:6">
      <c r="A97" s="93"/>
      <c r="B97" s="40" t="s">
        <v>158</v>
      </c>
      <c r="C97" s="82">
        <f>1260000*4</f>
        <v>5040000</v>
      </c>
      <c r="D97" s="97"/>
      <c r="E97" s="51">
        <f t="shared" si="17"/>
        <v>0</v>
      </c>
      <c r="F97" s="93"/>
    </row>
    <row r="98" spans="1:6">
      <c r="A98" s="93"/>
      <c r="B98" s="40" t="s">
        <v>159</v>
      </c>
      <c r="C98" s="82">
        <v>20000000</v>
      </c>
      <c r="D98" s="97">
        <v>2000000</v>
      </c>
      <c r="E98" s="51">
        <f t="shared" si="17"/>
        <v>0.1</v>
      </c>
      <c r="F98" s="93"/>
    </row>
    <row r="99" spans="1:6" ht="31.5">
      <c r="A99" s="93"/>
      <c r="B99" s="40" t="s">
        <v>160</v>
      </c>
      <c r="C99" s="82">
        <f>1100*5000+12*200000+250000</f>
        <v>8150000</v>
      </c>
      <c r="D99" s="97"/>
      <c r="E99" s="51">
        <f t="shared" si="17"/>
        <v>0</v>
      </c>
      <c r="F99" s="93"/>
    </row>
    <row r="100" spans="1:6" ht="31.5">
      <c r="A100" s="93"/>
      <c r="B100" s="40" t="s">
        <v>161</v>
      </c>
      <c r="C100" s="82">
        <v>14000000</v>
      </c>
      <c r="D100" s="97"/>
      <c r="E100" s="51">
        <f t="shared" si="17"/>
        <v>0</v>
      </c>
      <c r="F100" s="93"/>
    </row>
    <row r="101" spans="1:6">
      <c r="A101" s="93"/>
      <c r="B101" s="40" t="s">
        <v>162</v>
      </c>
      <c r="C101" s="82">
        <v>70000000</v>
      </c>
      <c r="D101" s="97">
        <v>84379000</v>
      </c>
      <c r="E101" s="51">
        <f t="shared" si="17"/>
        <v>1.2054142857142858</v>
      </c>
      <c r="F101" s="93"/>
    </row>
    <row r="102" spans="1:6" ht="31.5">
      <c r="A102" s="93"/>
      <c r="B102" s="40" t="s">
        <v>163</v>
      </c>
      <c r="C102" s="82">
        <f>1500000*9</f>
        <v>13500000</v>
      </c>
      <c r="D102" s="97"/>
      <c r="E102" s="51">
        <f t="shared" si="17"/>
        <v>0</v>
      </c>
      <c r="F102" s="93"/>
    </row>
    <row r="103" spans="1:6" ht="63">
      <c r="A103" s="93"/>
      <c r="B103" s="40" t="s">
        <v>164</v>
      </c>
      <c r="C103" s="82">
        <v>13000000</v>
      </c>
      <c r="D103" s="97"/>
      <c r="E103" s="51">
        <f t="shared" si="17"/>
        <v>0</v>
      </c>
      <c r="F103" s="93"/>
    </row>
    <row r="104" spans="1:6">
      <c r="A104" s="93"/>
      <c r="B104" s="40" t="s">
        <v>165</v>
      </c>
      <c r="C104" s="82">
        <f>40000*100</f>
        <v>4000000</v>
      </c>
      <c r="D104" s="97"/>
      <c r="E104" s="51">
        <f t="shared" si="17"/>
        <v>0</v>
      </c>
      <c r="F104" s="93"/>
    </row>
    <row r="105" spans="1:6">
      <c r="A105" s="93"/>
      <c r="B105" s="40" t="s">
        <v>166</v>
      </c>
      <c r="C105" s="82">
        <f>200000*10</f>
        <v>2000000</v>
      </c>
      <c r="D105" s="97"/>
      <c r="E105" s="51">
        <f t="shared" si="17"/>
        <v>0</v>
      </c>
      <c r="F105" s="93"/>
    </row>
    <row r="106" spans="1:6">
      <c r="A106" s="93"/>
      <c r="B106" s="40" t="s">
        <v>167</v>
      </c>
      <c r="C106" s="82">
        <f>6*300000</f>
        <v>1800000</v>
      </c>
      <c r="D106" s="97"/>
      <c r="E106" s="51">
        <f t="shared" si="17"/>
        <v>0</v>
      </c>
      <c r="F106" s="93"/>
    </row>
    <row r="107" spans="1:6">
      <c r="A107" s="93"/>
      <c r="B107" s="40" t="s">
        <v>168</v>
      </c>
      <c r="C107" s="82">
        <f>3*500000</f>
        <v>1500000</v>
      </c>
      <c r="D107" s="97"/>
      <c r="E107" s="51">
        <f t="shared" si="17"/>
        <v>0</v>
      </c>
      <c r="F107" s="93"/>
    </row>
    <row r="108" spans="1:6" ht="47.25">
      <c r="A108" s="93"/>
      <c r="B108" s="40" t="s">
        <v>169</v>
      </c>
      <c r="C108" s="82">
        <f>100000*50</f>
        <v>5000000</v>
      </c>
      <c r="D108" s="97">
        <v>5600000</v>
      </c>
      <c r="E108" s="51">
        <f t="shared" si="17"/>
        <v>1.1200000000000001</v>
      </c>
      <c r="F108" s="93"/>
    </row>
    <row r="109" spans="1:6" ht="31.5">
      <c r="A109" s="93"/>
      <c r="B109" s="40" t="s">
        <v>170</v>
      </c>
      <c r="C109" s="82">
        <v>3000000</v>
      </c>
      <c r="D109" s="97">
        <v>866800</v>
      </c>
      <c r="E109" s="51">
        <f t="shared" si="17"/>
        <v>0.28893333333333332</v>
      </c>
      <c r="F109" s="93"/>
    </row>
    <row r="110" spans="1:6" ht="31.5">
      <c r="A110" s="93"/>
      <c r="B110" s="40" t="s">
        <v>171</v>
      </c>
      <c r="C110" s="82">
        <v>3000000</v>
      </c>
      <c r="E110" s="51">
        <f t="shared" si="17"/>
        <v>0</v>
      </c>
      <c r="F110" s="93"/>
    </row>
    <row r="111" spans="1:6" ht="31.5">
      <c r="A111" s="93"/>
      <c r="B111" s="40" t="s">
        <v>172</v>
      </c>
      <c r="C111" s="82">
        <v>4000000</v>
      </c>
      <c r="D111" s="97"/>
      <c r="E111" s="51">
        <f t="shared" si="17"/>
        <v>0</v>
      </c>
      <c r="F111" s="93"/>
    </row>
    <row r="112" spans="1:6" ht="31.5">
      <c r="A112" s="93"/>
      <c r="B112" s="40" t="s">
        <v>173</v>
      </c>
      <c r="C112" s="82">
        <v>4000000</v>
      </c>
      <c r="D112" s="97"/>
      <c r="E112" s="51">
        <f t="shared" si="17"/>
        <v>0</v>
      </c>
      <c r="F112" s="93"/>
    </row>
    <row r="113" spans="1:6" ht="31.5">
      <c r="A113" s="93"/>
      <c r="B113" s="40" t="s">
        <v>174</v>
      </c>
      <c r="C113" s="82">
        <v>4000000</v>
      </c>
      <c r="D113" s="97"/>
      <c r="E113" s="51">
        <f t="shared" si="17"/>
        <v>0</v>
      </c>
      <c r="F113" s="93"/>
    </row>
    <row r="114" spans="1:6" ht="31.5">
      <c r="A114" s="93"/>
      <c r="B114" s="40" t="s">
        <v>175</v>
      </c>
      <c r="C114" s="82">
        <v>4000000</v>
      </c>
      <c r="D114" s="97"/>
      <c r="E114" s="51">
        <f t="shared" si="17"/>
        <v>0</v>
      </c>
      <c r="F114" s="93"/>
    </row>
    <row r="115" spans="1:6" ht="31.5">
      <c r="A115" s="93"/>
      <c r="B115" s="40" t="s">
        <v>176</v>
      </c>
      <c r="C115" s="82">
        <v>6000000</v>
      </c>
      <c r="D115" s="97"/>
      <c r="E115" s="51">
        <f t="shared" si="17"/>
        <v>0</v>
      </c>
      <c r="F115" s="93"/>
    </row>
    <row r="116" spans="1:6" ht="31.5">
      <c r="A116" s="93"/>
      <c r="B116" s="40" t="s">
        <v>177</v>
      </c>
      <c r="C116" s="82">
        <v>5000000</v>
      </c>
      <c r="D116" s="97"/>
      <c r="E116" s="51">
        <f t="shared" si="17"/>
        <v>0</v>
      </c>
      <c r="F116" s="93"/>
    </row>
    <row r="117" spans="1:6" ht="31.5">
      <c r="A117" s="93"/>
      <c r="B117" s="40" t="s">
        <v>178</v>
      </c>
      <c r="C117" s="82">
        <v>10000000</v>
      </c>
      <c r="D117" s="97"/>
      <c r="E117" s="51">
        <f t="shared" si="17"/>
        <v>0</v>
      </c>
      <c r="F117" s="93"/>
    </row>
    <row r="118" spans="1:6">
      <c r="A118" s="93"/>
      <c r="B118" s="40" t="s">
        <v>179</v>
      </c>
      <c r="C118" s="82">
        <v>5000000</v>
      </c>
      <c r="D118" s="97"/>
      <c r="E118" s="51">
        <f t="shared" si="17"/>
        <v>0</v>
      </c>
      <c r="F118" s="93"/>
    </row>
    <row r="119" spans="1:6" ht="31.5">
      <c r="A119" s="93"/>
      <c r="B119" s="40" t="s">
        <v>180</v>
      </c>
      <c r="C119" s="82">
        <v>5000000</v>
      </c>
      <c r="D119" s="97"/>
      <c r="E119" s="51">
        <f t="shared" si="17"/>
        <v>0</v>
      </c>
      <c r="F119" s="93"/>
    </row>
    <row r="120" spans="1:6">
      <c r="A120" s="93"/>
      <c r="B120" s="40" t="s">
        <v>181</v>
      </c>
      <c r="C120" s="82">
        <v>2000000</v>
      </c>
      <c r="D120" s="97"/>
      <c r="E120" s="51">
        <f t="shared" si="17"/>
        <v>0</v>
      </c>
      <c r="F120" s="93"/>
    </row>
    <row r="121" spans="1:6">
      <c r="A121" s="93"/>
      <c r="B121" s="40" t="s">
        <v>182</v>
      </c>
      <c r="C121" s="82">
        <v>15000000</v>
      </c>
      <c r="D121" s="97"/>
      <c r="E121" s="51">
        <f t="shared" si="17"/>
        <v>0</v>
      </c>
      <c r="F121" s="93"/>
    </row>
    <row r="122" spans="1:6" ht="47.25">
      <c r="A122" s="93"/>
      <c r="B122" s="40" t="s">
        <v>183</v>
      </c>
      <c r="C122" s="82">
        <v>5000000</v>
      </c>
      <c r="D122" s="97"/>
      <c r="E122" s="51">
        <f t="shared" si="17"/>
        <v>0</v>
      </c>
      <c r="F122" s="93"/>
    </row>
    <row r="123" spans="1:6" ht="47.25">
      <c r="A123" s="93"/>
      <c r="B123" s="40" t="s">
        <v>184</v>
      </c>
      <c r="C123" s="82">
        <v>4000000</v>
      </c>
      <c r="D123" s="97"/>
      <c r="E123" s="51">
        <f t="shared" si="17"/>
        <v>0</v>
      </c>
      <c r="F123" s="93"/>
    </row>
    <row r="124" spans="1:6" ht="47.25">
      <c r="A124" s="93"/>
      <c r="B124" s="40" t="s">
        <v>185</v>
      </c>
      <c r="C124" s="82">
        <v>6000000</v>
      </c>
      <c r="D124" s="97"/>
      <c r="E124" s="51">
        <f t="shared" si="17"/>
        <v>0</v>
      </c>
      <c r="F124" s="93"/>
    </row>
    <row r="125" spans="1:6" ht="47.25">
      <c r="A125" s="93"/>
      <c r="B125" s="40" t="s">
        <v>186</v>
      </c>
      <c r="C125" s="82">
        <v>5000000</v>
      </c>
      <c r="D125" s="97"/>
      <c r="E125" s="51">
        <f t="shared" si="17"/>
        <v>0</v>
      </c>
      <c r="F125" s="93"/>
    </row>
    <row r="126" spans="1:6" ht="47.25">
      <c r="A126" s="93"/>
      <c r="B126" s="40" t="s">
        <v>187</v>
      </c>
      <c r="C126" s="82">
        <v>7000000</v>
      </c>
      <c r="D126" s="97"/>
      <c r="E126" s="51">
        <f t="shared" si="17"/>
        <v>0</v>
      </c>
      <c r="F126" s="93"/>
    </row>
    <row r="127" spans="1:6" ht="47.25">
      <c r="A127" s="93"/>
      <c r="B127" s="40" t="s">
        <v>188</v>
      </c>
      <c r="C127" s="82">
        <v>6000000</v>
      </c>
      <c r="D127" s="97"/>
      <c r="E127" s="51">
        <f t="shared" si="17"/>
        <v>0</v>
      </c>
      <c r="F127" s="93"/>
    </row>
    <row r="128" spans="1:6" ht="47.25">
      <c r="A128" s="93"/>
      <c r="B128" s="40" t="s">
        <v>189</v>
      </c>
      <c r="C128" s="82">
        <v>3000000</v>
      </c>
      <c r="D128" s="97"/>
      <c r="E128" s="51">
        <f t="shared" si="17"/>
        <v>0</v>
      </c>
      <c r="F128" s="93"/>
    </row>
    <row r="129" spans="1:6" ht="47.25">
      <c r="A129" s="93"/>
      <c r="B129" s="40" t="s">
        <v>190</v>
      </c>
      <c r="C129" s="82">
        <v>3000000</v>
      </c>
      <c r="D129" s="97"/>
      <c r="E129" s="51">
        <f t="shared" si="17"/>
        <v>0</v>
      </c>
      <c r="F129" s="93"/>
    </row>
    <row r="130" spans="1:6" ht="31.5">
      <c r="A130" s="93"/>
      <c r="B130" s="40" t="s">
        <v>191</v>
      </c>
      <c r="C130" s="82">
        <v>1200000</v>
      </c>
      <c r="D130" s="97"/>
      <c r="E130" s="51">
        <f t="shared" si="17"/>
        <v>0</v>
      </c>
      <c r="F130" s="93"/>
    </row>
    <row r="131" spans="1:6" ht="31.5">
      <c r="A131" s="93"/>
      <c r="B131" s="40" t="s">
        <v>192</v>
      </c>
      <c r="C131" s="82">
        <f>30*80000</f>
        <v>2400000</v>
      </c>
      <c r="D131" s="97"/>
      <c r="E131" s="51">
        <f t="shared" si="17"/>
        <v>0</v>
      </c>
      <c r="F131" s="93"/>
    </row>
    <row r="132" spans="1:6" ht="31.5">
      <c r="A132" s="93"/>
      <c r="B132" s="40" t="s">
        <v>193</v>
      </c>
      <c r="C132" s="82">
        <f>120000*50</f>
        <v>6000000</v>
      </c>
      <c r="D132" s="97"/>
      <c r="E132" s="51">
        <f t="shared" si="17"/>
        <v>0</v>
      </c>
      <c r="F132" s="93"/>
    </row>
    <row r="133" spans="1:6" ht="31.5">
      <c r="A133" s="93"/>
      <c r="B133" s="40" t="s">
        <v>194</v>
      </c>
      <c r="C133" s="82">
        <v>700000</v>
      </c>
      <c r="D133" s="97"/>
      <c r="E133" s="51">
        <f t="shared" si="17"/>
        <v>0</v>
      </c>
      <c r="F133" s="93"/>
    </row>
    <row r="134" spans="1:6">
      <c r="A134" s="93"/>
      <c r="B134" s="40" t="s">
        <v>195</v>
      </c>
      <c r="C134" s="82">
        <v>21000000</v>
      </c>
      <c r="D134" s="97"/>
      <c r="E134" s="51">
        <f t="shared" si="17"/>
        <v>0</v>
      </c>
      <c r="F134" s="93"/>
    </row>
    <row r="135" spans="1:6" ht="31.5">
      <c r="A135" s="93"/>
      <c r="B135" s="40" t="s">
        <v>196</v>
      </c>
      <c r="C135" s="82">
        <v>700000</v>
      </c>
      <c r="D135" s="97"/>
      <c r="E135" s="51">
        <f t="shared" si="17"/>
        <v>0</v>
      </c>
      <c r="F135" s="93"/>
    </row>
    <row r="136" spans="1:6">
      <c r="A136" s="93"/>
      <c r="B136" s="40" t="s">
        <v>197</v>
      </c>
      <c r="C136" s="82">
        <v>4000000</v>
      </c>
      <c r="D136" s="97"/>
      <c r="E136" s="51">
        <f t="shared" si="17"/>
        <v>0</v>
      </c>
      <c r="F136" s="93"/>
    </row>
    <row r="137" spans="1:6" ht="31.5">
      <c r="A137" s="93"/>
      <c r="B137" s="40" t="s">
        <v>198</v>
      </c>
      <c r="C137" s="82">
        <v>6000000</v>
      </c>
      <c r="D137" s="97"/>
      <c r="E137" s="51">
        <f t="shared" si="17"/>
        <v>0</v>
      </c>
      <c r="F137" s="93"/>
    </row>
    <row r="138" spans="1:6">
      <c r="A138" s="93"/>
      <c r="B138" s="40" t="s">
        <v>199</v>
      </c>
      <c r="C138" s="82">
        <f>1400*45000</f>
        <v>63000000</v>
      </c>
      <c r="D138" s="97"/>
      <c r="E138" s="51">
        <f t="shared" si="17"/>
        <v>0</v>
      </c>
      <c r="F138" s="93"/>
    </row>
    <row r="139" spans="1:6">
      <c r="A139" s="93"/>
      <c r="B139" s="40" t="s">
        <v>200</v>
      </c>
      <c r="C139" s="82">
        <v>4000000</v>
      </c>
      <c r="D139" s="97"/>
      <c r="E139" s="51">
        <f t="shared" si="17"/>
        <v>0</v>
      </c>
      <c r="F139" s="93"/>
    </row>
    <row r="140" spans="1:6">
      <c r="A140" s="93"/>
      <c r="B140" s="40" t="s">
        <v>201</v>
      </c>
      <c r="C140" s="82">
        <v>4000000</v>
      </c>
      <c r="D140" s="97"/>
      <c r="E140" s="51">
        <f t="shared" si="17"/>
        <v>0</v>
      </c>
      <c r="F140" s="93"/>
    </row>
    <row r="141" spans="1:6" ht="31.5">
      <c r="A141" s="93"/>
      <c r="B141" s="40" t="s">
        <v>202</v>
      </c>
      <c r="C141" s="82">
        <f>29*200000+1500000</f>
        <v>7300000</v>
      </c>
      <c r="D141" s="97"/>
      <c r="E141" s="51">
        <f t="shared" si="17"/>
        <v>0</v>
      </c>
      <c r="F141" s="93"/>
    </row>
    <row r="142" spans="1:6" ht="31.5">
      <c r="A142" s="93"/>
      <c r="B142" s="40" t="s">
        <v>203</v>
      </c>
      <c r="C142" s="82">
        <f>35*150000</f>
        <v>5250000</v>
      </c>
      <c r="D142" s="97"/>
      <c r="E142" s="51">
        <f t="shared" si="17"/>
        <v>0</v>
      </c>
      <c r="F142" s="93"/>
    </row>
    <row r="143" spans="1:6">
      <c r="A143" s="93"/>
      <c r="B143" s="40" t="s">
        <v>204</v>
      </c>
      <c r="C143" s="82">
        <v>5000000</v>
      </c>
      <c r="D143" s="97"/>
      <c r="E143" s="51">
        <f t="shared" si="17"/>
        <v>0</v>
      </c>
      <c r="F143" s="93"/>
    </row>
    <row r="144" spans="1:6" ht="31.5">
      <c r="A144" s="93"/>
      <c r="B144" s="40" t="s">
        <v>205</v>
      </c>
      <c r="C144" s="82">
        <f>4*90000*10*3+8739800</f>
        <v>19539800</v>
      </c>
      <c r="D144" s="97"/>
      <c r="E144" s="51">
        <f t="shared" si="17"/>
        <v>0</v>
      </c>
      <c r="F144" s="93"/>
    </row>
    <row r="145" spans="1:6">
      <c r="A145" s="93"/>
      <c r="B145" s="40" t="s">
        <v>206</v>
      </c>
      <c r="C145" s="82">
        <f>70*5000</f>
        <v>350000</v>
      </c>
      <c r="D145" s="97"/>
      <c r="E145" s="51">
        <f t="shared" si="17"/>
        <v>0</v>
      </c>
      <c r="F145" s="93"/>
    </row>
    <row r="146" spans="1:6">
      <c r="A146" s="93"/>
      <c r="B146" s="40" t="s">
        <v>207</v>
      </c>
      <c r="C146" s="82">
        <f>70000*10</f>
        <v>700000</v>
      </c>
      <c r="D146" s="97"/>
      <c r="E146" s="51">
        <f t="shared" si="17"/>
        <v>0</v>
      </c>
      <c r="F146" s="93"/>
    </row>
    <row r="147" spans="1:6">
      <c r="A147" s="93"/>
      <c r="B147" s="96" t="s">
        <v>208</v>
      </c>
      <c r="C147" s="81">
        <f>SUM(C148:C151)</f>
        <v>72660200</v>
      </c>
      <c r="D147" s="81">
        <f t="shared" ref="D147:F147" si="19">SUM(D148:D151)</f>
        <v>0</v>
      </c>
      <c r="E147" s="51">
        <f t="shared" si="17"/>
        <v>0</v>
      </c>
      <c r="F147" s="81">
        <f t="shared" si="19"/>
        <v>0</v>
      </c>
    </row>
    <row r="148" spans="1:6">
      <c r="A148" s="93"/>
      <c r="B148" s="40" t="s">
        <v>90</v>
      </c>
      <c r="C148" s="82">
        <v>16000000</v>
      </c>
      <c r="D148" s="97"/>
      <c r="E148" s="51">
        <f t="shared" si="17"/>
        <v>0</v>
      </c>
      <c r="F148" s="93"/>
    </row>
    <row r="149" spans="1:6">
      <c r="A149" s="93"/>
      <c r="B149" s="38" t="s">
        <v>124</v>
      </c>
      <c r="C149" s="82">
        <f>200000*38*2+0.6*2*1210000</f>
        <v>16652000</v>
      </c>
      <c r="D149" s="97"/>
      <c r="E149" s="51">
        <f t="shared" si="17"/>
        <v>0</v>
      </c>
      <c r="F149" s="93"/>
    </row>
    <row r="150" spans="1:6">
      <c r="A150" s="93"/>
      <c r="B150" s="38" t="s">
        <v>91</v>
      </c>
      <c r="C150" s="82">
        <v>30000000</v>
      </c>
      <c r="D150" s="97"/>
      <c r="E150" s="51">
        <f t="shared" si="17"/>
        <v>0</v>
      </c>
      <c r="F150" s="93"/>
    </row>
    <row r="151" spans="1:6">
      <c r="A151" s="93"/>
      <c r="B151" s="38" t="s">
        <v>92</v>
      </c>
      <c r="C151" s="82">
        <f>4500000+5508200</f>
        <v>10008200</v>
      </c>
      <c r="D151" s="97"/>
      <c r="E151" s="51">
        <f t="shared" si="17"/>
        <v>0</v>
      </c>
      <c r="F151" s="93"/>
    </row>
    <row r="152" spans="1:6">
      <c r="A152" s="93"/>
      <c r="B152" s="37"/>
      <c r="C152" s="81">
        <f>C153</f>
        <v>600000</v>
      </c>
      <c r="D152" s="81">
        <f t="shared" ref="D152:F152" si="20">D153</f>
        <v>0</v>
      </c>
      <c r="E152" s="51">
        <f t="shared" si="17"/>
        <v>0</v>
      </c>
      <c r="F152" s="81">
        <f t="shared" si="20"/>
        <v>0</v>
      </c>
    </row>
    <row r="153" spans="1:6">
      <c r="A153" s="93"/>
      <c r="B153" s="38" t="s">
        <v>93</v>
      </c>
      <c r="C153" s="82">
        <v>600000</v>
      </c>
      <c r="D153" s="97"/>
      <c r="E153" s="51">
        <f t="shared" si="17"/>
        <v>0</v>
      </c>
      <c r="F153" s="93"/>
    </row>
    <row r="154" spans="1:6" s="56" customFormat="1">
      <c r="A154" s="100"/>
      <c r="B154" s="85" t="s">
        <v>209</v>
      </c>
      <c r="C154" s="86">
        <v>112985000</v>
      </c>
      <c r="D154" s="86"/>
      <c r="E154" s="44">
        <f t="shared" si="17"/>
        <v>0</v>
      </c>
      <c r="F154" s="86"/>
    </row>
    <row r="155" spans="1:6" s="56" customFormat="1">
      <c r="A155" s="100"/>
      <c r="B155" s="58" t="s">
        <v>210</v>
      </c>
      <c r="C155" s="87">
        <f>C156+C161+C163+C174+C177+C179+C181+C183</f>
        <v>2060810160</v>
      </c>
      <c r="D155" s="87">
        <f t="shared" ref="D155:F155" si="21">D156+D161+D163+D174+D177+D179+D181+D183</f>
        <v>140809470</v>
      </c>
      <c r="E155" s="44">
        <f t="shared" si="17"/>
        <v>6.8327239807474557E-2</v>
      </c>
      <c r="F155" s="87">
        <f t="shared" si="21"/>
        <v>0</v>
      </c>
    </row>
    <row r="156" spans="1:6">
      <c r="A156" s="93"/>
      <c r="B156" s="37" t="s">
        <v>49</v>
      </c>
      <c r="C156" s="88">
        <f>SUM(C157:C160)</f>
        <v>87523400</v>
      </c>
      <c r="D156" s="88">
        <f t="shared" ref="D156:F156" si="22">SUM(D157:D160)</f>
        <v>0</v>
      </c>
      <c r="E156" s="51">
        <f t="shared" si="17"/>
        <v>0</v>
      </c>
      <c r="F156" s="88">
        <f t="shared" si="22"/>
        <v>0</v>
      </c>
    </row>
    <row r="157" spans="1:6">
      <c r="A157" s="93"/>
      <c r="B157" s="38" t="s">
        <v>94</v>
      </c>
      <c r="C157" s="89">
        <f>C178*17.5%</f>
        <v>65176999.999999993</v>
      </c>
      <c r="D157" s="97"/>
      <c r="E157" s="51">
        <f t="shared" si="17"/>
        <v>0</v>
      </c>
      <c r="F157" s="93"/>
    </row>
    <row r="158" spans="1:6">
      <c r="A158" s="93"/>
      <c r="B158" s="38" t="s">
        <v>95</v>
      </c>
      <c r="C158" s="89">
        <f>C178*3%</f>
        <v>11173200</v>
      </c>
      <c r="D158" s="97"/>
      <c r="E158" s="51">
        <f t="shared" ref="E158:E184" si="23">D158/C158*100%</f>
        <v>0</v>
      </c>
      <c r="F158" s="93"/>
    </row>
    <row r="159" spans="1:6">
      <c r="A159" s="93"/>
      <c r="B159" s="38" t="s">
        <v>96</v>
      </c>
      <c r="C159" s="89">
        <f>C178*2%</f>
        <v>7448800</v>
      </c>
      <c r="D159" s="97"/>
      <c r="E159" s="51">
        <f t="shared" si="23"/>
        <v>0</v>
      </c>
      <c r="F159" s="93"/>
    </row>
    <row r="160" spans="1:6">
      <c r="A160" s="93"/>
      <c r="B160" s="38" t="s">
        <v>97</v>
      </c>
      <c r="C160" s="89">
        <f>C178*1%</f>
        <v>3724400</v>
      </c>
      <c r="D160" s="97"/>
      <c r="E160" s="51">
        <f t="shared" si="23"/>
        <v>0</v>
      </c>
      <c r="F160" s="93"/>
    </row>
    <row r="161" spans="1:6" s="56" customFormat="1">
      <c r="A161" s="100"/>
      <c r="B161" s="37" t="s">
        <v>50</v>
      </c>
      <c r="C161" s="81">
        <f>SUM(C162)</f>
        <v>4500000</v>
      </c>
      <c r="D161" s="81">
        <f t="shared" ref="D161:F161" si="24">SUM(D162)</f>
        <v>0</v>
      </c>
      <c r="E161" s="44">
        <f t="shared" si="23"/>
        <v>0</v>
      </c>
      <c r="F161" s="81">
        <f t="shared" si="24"/>
        <v>0</v>
      </c>
    </row>
    <row r="162" spans="1:6">
      <c r="A162" s="93"/>
      <c r="B162" s="82" t="s">
        <v>98</v>
      </c>
      <c r="C162" s="82">
        <v>4500000</v>
      </c>
      <c r="D162" s="97"/>
      <c r="E162" s="51">
        <f t="shared" si="23"/>
        <v>0</v>
      </c>
      <c r="F162" s="93"/>
    </row>
    <row r="163" spans="1:6" s="56" customFormat="1">
      <c r="A163" s="100"/>
      <c r="B163" s="37" t="s">
        <v>102</v>
      </c>
      <c r="C163" s="81">
        <f>SUM(C164:C173)</f>
        <v>1104127160</v>
      </c>
      <c r="D163" s="81">
        <f t="shared" ref="D163:F163" si="25">SUM(D164:D173)</f>
        <v>106769470</v>
      </c>
      <c r="E163" s="44">
        <f t="shared" si="23"/>
        <v>9.6700338392183019E-2</v>
      </c>
      <c r="F163" s="81">
        <f t="shared" si="25"/>
        <v>0</v>
      </c>
    </row>
    <row r="164" spans="1:6">
      <c r="A164" s="93"/>
      <c r="B164" s="82" t="s">
        <v>211</v>
      </c>
      <c r="C164" s="82">
        <v>900000000</v>
      </c>
      <c r="D164" s="97"/>
      <c r="E164" s="51">
        <f t="shared" si="23"/>
        <v>0</v>
      </c>
      <c r="F164" s="93"/>
    </row>
    <row r="165" spans="1:6">
      <c r="A165" s="93"/>
      <c r="B165" s="38" t="s">
        <v>212</v>
      </c>
      <c r="C165" s="82">
        <v>94889160</v>
      </c>
      <c r="D165" s="97">
        <v>74331090</v>
      </c>
      <c r="E165" s="51">
        <f t="shared" si="23"/>
        <v>0.78334648552058006</v>
      </c>
      <c r="F165" s="93"/>
    </row>
    <row r="166" spans="1:6">
      <c r="A166" s="93"/>
      <c r="B166" s="41" t="s">
        <v>213</v>
      </c>
      <c r="C166" s="90">
        <f>2*600000*12</f>
        <v>14400000</v>
      </c>
      <c r="E166" s="51">
        <f t="shared" si="23"/>
        <v>0</v>
      </c>
      <c r="F166" s="93"/>
    </row>
    <row r="167" spans="1:6">
      <c r="A167" s="93"/>
      <c r="B167" s="38" t="s">
        <v>214</v>
      </c>
      <c r="C167" s="90">
        <f>500000*1*12</f>
        <v>6000000</v>
      </c>
      <c r="D167" s="97">
        <v>32438380</v>
      </c>
      <c r="E167" s="51">
        <f t="shared" si="23"/>
        <v>5.4063966666666667</v>
      </c>
      <c r="F167" s="93"/>
    </row>
    <row r="168" spans="1:6">
      <c r="A168" s="93"/>
      <c r="B168" s="91" t="s">
        <v>215</v>
      </c>
      <c r="C168" s="82">
        <f>2*12*0.7*1490000</f>
        <v>25031999.999999996</v>
      </c>
      <c r="D168" s="97"/>
      <c r="E168" s="51">
        <f t="shared" si="23"/>
        <v>0</v>
      </c>
      <c r="F168" s="93"/>
    </row>
    <row r="169" spans="1:6">
      <c r="A169" s="93"/>
      <c r="B169" s="91" t="s">
        <v>216</v>
      </c>
      <c r="C169" s="82">
        <v>2250000</v>
      </c>
      <c r="D169" s="97"/>
      <c r="E169" s="51">
        <f t="shared" si="23"/>
        <v>0</v>
      </c>
      <c r="F169" s="93"/>
    </row>
    <row r="170" spans="1:6">
      <c r="A170" s="93"/>
      <c r="B170" s="82" t="s">
        <v>217</v>
      </c>
      <c r="C170" s="82">
        <f>0.2*1390000*12</f>
        <v>3336000</v>
      </c>
      <c r="D170" s="97"/>
      <c r="E170" s="51">
        <f t="shared" si="23"/>
        <v>0</v>
      </c>
      <c r="F170" s="93"/>
    </row>
    <row r="171" spans="1:6">
      <c r="A171" s="93"/>
      <c r="B171" s="82" t="s">
        <v>218</v>
      </c>
      <c r="C171" s="82">
        <f>1.5*1490000*12</f>
        <v>26820000</v>
      </c>
      <c r="D171" s="97"/>
      <c r="E171" s="51">
        <f t="shared" si="23"/>
        <v>0</v>
      </c>
      <c r="F171" s="93"/>
    </row>
    <row r="172" spans="1:6">
      <c r="A172" s="93"/>
      <c r="B172" s="82" t="s">
        <v>219</v>
      </c>
      <c r="C172" s="82">
        <v>20000000</v>
      </c>
      <c r="D172" s="97"/>
      <c r="E172" s="51">
        <f t="shared" si="23"/>
        <v>0</v>
      </c>
      <c r="F172" s="93"/>
    </row>
    <row r="173" spans="1:6">
      <c r="A173" s="93"/>
      <c r="B173" s="82" t="s">
        <v>220</v>
      </c>
      <c r="C173" s="82">
        <v>11400000</v>
      </c>
      <c r="D173" s="97"/>
      <c r="E173" s="51">
        <f t="shared" si="23"/>
        <v>0</v>
      </c>
      <c r="F173" s="93"/>
    </row>
    <row r="174" spans="1:6">
      <c r="A174" s="93"/>
      <c r="B174" s="81" t="s">
        <v>52</v>
      </c>
      <c r="C174" s="81">
        <f>SUM(C175:C176)</f>
        <v>321819600</v>
      </c>
      <c r="D174" s="81">
        <f t="shared" ref="D174:F174" si="26">SUM(D175:D176)</f>
        <v>34040000</v>
      </c>
      <c r="E174" s="51">
        <f t="shared" si="23"/>
        <v>0.10577354517872746</v>
      </c>
      <c r="F174" s="81">
        <f t="shared" si="26"/>
        <v>0</v>
      </c>
    </row>
    <row r="175" spans="1:6">
      <c r="A175" s="93"/>
      <c r="B175" s="82" t="s">
        <v>125</v>
      </c>
      <c r="C175" s="82">
        <v>249600000</v>
      </c>
      <c r="D175" s="97"/>
      <c r="E175" s="51">
        <f t="shared" si="23"/>
        <v>0</v>
      </c>
      <c r="F175" s="93"/>
    </row>
    <row r="176" spans="1:6">
      <c r="A176" s="93"/>
      <c r="B176" s="82" t="s">
        <v>221</v>
      </c>
      <c r="C176" s="82">
        <f>11150000+61069600</f>
        <v>72219600</v>
      </c>
      <c r="D176" s="97">
        <v>34040000</v>
      </c>
      <c r="E176" s="51">
        <f t="shared" si="23"/>
        <v>0.47134019019767487</v>
      </c>
      <c r="F176" s="93"/>
    </row>
    <row r="177" spans="1:6" s="56" customFormat="1">
      <c r="A177" s="100"/>
      <c r="B177" s="37" t="s">
        <v>99</v>
      </c>
      <c r="C177" s="81">
        <f>SUM(C178:C178)</f>
        <v>372440000</v>
      </c>
      <c r="D177" s="81">
        <f t="shared" ref="D177:F177" si="27">SUM(D178:D178)</f>
        <v>0</v>
      </c>
      <c r="E177" s="44">
        <f t="shared" si="23"/>
        <v>0</v>
      </c>
      <c r="F177" s="81">
        <f t="shared" si="27"/>
        <v>0</v>
      </c>
    </row>
    <row r="178" spans="1:6">
      <c r="A178" s="93"/>
      <c r="B178" s="38" t="s">
        <v>100</v>
      </c>
      <c r="C178" s="82">
        <f>362440000+10000000</f>
        <v>372440000</v>
      </c>
      <c r="D178" s="97"/>
      <c r="E178" s="51">
        <f t="shared" si="23"/>
        <v>0</v>
      </c>
      <c r="F178" s="93"/>
    </row>
    <row r="179" spans="1:6" s="56" customFormat="1">
      <c r="A179" s="100"/>
      <c r="B179" s="37" t="s">
        <v>222</v>
      </c>
      <c r="C179" s="81">
        <f>SUM(C180)</f>
        <v>158400000</v>
      </c>
      <c r="D179" s="81">
        <f t="shared" ref="D179:F179" si="28">SUM(D180)</f>
        <v>0</v>
      </c>
      <c r="E179" s="44">
        <f t="shared" si="23"/>
        <v>0</v>
      </c>
      <c r="F179" s="81">
        <f t="shared" si="28"/>
        <v>0</v>
      </c>
    </row>
    <row r="180" spans="1:6">
      <c r="A180" s="93"/>
      <c r="B180" s="38" t="s">
        <v>222</v>
      </c>
      <c r="C180" s="82">
        <v>158400000</v>
      </c>
      <c r="D180" s="97"/>
      <c r="E180" s="51">
        <f t="shared" si="23"/>
        <v>0</v>
      </c>
      <c r="F180" s="93"/>
    </row>
    <row r="181" spans="1:6" s="56" customFormat="1">
      <c r="A181" s="100"/>
      <c r="B181" s="81" t="s">
        <v>101</v>
      </c>
      <c r="C181" s="54">
        <f>C182</f>
        <v>1200000</v>
      </c>
      <c r="D181" s="101"/>
      <c r="E181" s="44">
        <f t="shared" si="23"/>
        <v>0</v>
      </c>
      <c r="F181" s="100"/>
    </row>
    <row r="182" spans="1:6" ht="17.25" customHeight="1">
      <c r="A182" s="93"/>
      <c r="B182" s="82" t="s">
        <v>126</v>
      </c>
      <c r="C182" s="55">
        <v>1200000</v>
      </c>
      <c r="D182" s="97"/>
      <c r="E182" s="51">
        <f t="shared" si="23"/>
        <v>0</v>
      </c>
      <c r="F182" s="93"/>
    </row>
    <row r="183" spans="1:6" s="56" customFormat="1">
      <c r="A183" s="100"/>
      <c r="B183" s="81" t="s">
        <v>103</v>
      </c>
      <c r="C183" s="81">
        <f>SUM(C184:C184)</f>
        <v>10800000</v>
      </c>
      <c r="D183" s="101"/>
      <c r="E183" s="44">
        <f t="shared" si="23"/>
        <v>0</v>
      </c>
      <c r="F183" s="100"/>
    </row>
    <row r="184" spans="1:6">
      <c r="A184" s="93"/>
      <c r="B184" s="82" t="s">
        <v>104</v>
      </c>
      <c r="C184" s="82">
        <v>10800000</v>
      </c>
      <c r="D184" s="97"/>
      <c r="E184" s="51">
        <f t="shared" si="23"/>
        <v>0</v>
      </c>
      <c r="F184" s="93"/>
    </row>
    <row r="185" spans="1:6">
      <c r="B185" s="5"/>
      <c r="C185" s="102" t="s">
        <v>132</v>
      </c>
      <c r="D185" s="102"/>
    </row>
    <row r="186" spans="1:6">
      <c r="B186" s="103" t="s">
        <v>46</v>
      </c>
      <c r="C186" s="103"/>
      <c r="D186" s="103"/>
    </row>
    <row r="187" spans="1:6">
      <c r="B187" s="5"/>
      <c r="C187" s="3"/>
      <c r="D187" s="3"/>
    </row>
  </sheetData>
  <mergeCells count="15">
    <mergeCell ref="C185:D185"/>
    <mergeCell ref="B186:D186"/>
    <mergeCell ref="A1:F1"/>
    <mergeCell ref="A2:B2"/>
    <mergeCell ref="E2:F2"/>
    <mergeCell ref="A3:B3"/>
    <mergeCell ref="A4:F4"/>
    <mergeCell ref="A5:F5"/>
    <mergeCell ref="A6:F6"/>
    <mergeCell ref="E7:F7"/>
    <mergeCell ref="A8:A9"/>
    <mergeCell ref="B8:B9"/>
    <mergeCell ref="C8:C9"/>
    <mergeCell ref="D8:D9"/>
    <mergeCell ref="E8:F8"/>
  </mergeCells>
  <pageMargins left="0.51181102362204722" right="0.2" top="0.42" bottom="0.3937007874015748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P27"/>
  <sheetViews>
    <sheetView workbookViewId="0">
      <selection activeCell="M21" sqref="M21"/>
    </sheetView>
  </sheetViews>
  <sheetFormatPr defaultRowHeight="15"/>
  <cols>
    <col min="1" max="1" width="4.42578125" customWidth="1"/>
    <col min="2" max="2" width="33.42578125" customWidth="1"/>
    <col min="3" max="3" width="14.42578125" customWidth="1"/>
    <col min="4" max="4" width="15.140625" customWidth="1"/>
    <col min="5" max="5" width="14" customWidth="1"/>
    <col min="6" max="6" width="14.5703125" customWidth="1"/>
    <col min="7" max="7" width="9.85546875" customWidth="1"/>
    <col min="11" max="11" width="9.140625" customWidth="1"/>
    <col min="12" max="12" width="14.85546875" style="60" customWidth="1"/>
    <col min="13" max="13" width="15.42578125" style="60" customWidth="1"/>
    <col min="14" max="14" width="14.85546875" style="60" customWidth="1"/>
    <col min="15" max="15" width="15.28515625" style="60" customWidth="1"/>
    <col min="16" max="16" width="20.7109375" customWidth="1"/>
    <col min="257" max="257" width="4.42578125" customWidth="1"/>
    <col min="258" max="258" width="33.42578125" customWidth="1"/>
    <col min="259" max="259" width="14.42578125" customWidth="1"/>
    <col min="260" max="260" width="15.140625" customWidth="1"/>
    <col min="261" max="261" width="14" customWidth="1"/>
    <col min="262" max="262" width="14.5703125" customWidth="1"/>
    <col min="263" max="263" width="9.85546875" customWidth="1"/>
    <col min="267" max="267" width="9.140625" customWidth="1"/>
    <col min="268" max="268" width="14.85546875" customWidth="1"/>
    <col min="269" max="269" width="15.42578125" customWidth="1"/>
    <col min="270" max="270" width="14.85546875" customWidth="1"/>
    <col min="271" max="271" width="15.28515625" customWidth="1"/>
    <col min="272" max="272" width="20.7109375" customWidth="1"/>
    <col min="513" max="513" width="4.42578125" customWidth="1"/>
    <col min="514" max="514" width="33.42578125" customWidth="1"/>
    <col min="515" max="515" width="14.42578125" customWidth="1"/>
    <col min="516" max="516" width="15.140625" customWidth="1"/>
    <col min="517" max="517" width="14" customWidth="1"/>
    <col min="518" max="518" width="14.5703125" customWidth="1"/>
    <col min="519" max="519" width="9.85546875" customWidth="1"/>
    <col min="523" max="523" width="9.140625" customWidth="1"/>
    <col min="524" max="524" width="14.85546875" customWidth="1"/>
    <col min="525" max="525" width="15.42578125" customWidth="1"/>
    <col min="526" max="526" width="14.85546875" customWidth="1"/>
    <col min="527" max="527" width="15.28515625" customWidth="1"/>
    <col min="528" max="528" width="20.7109375" customWidth="1"/>
    <col min="769" max="769" width="4.42578125" customWidth="1"/>
    <col min="770" max="770" width="33.42578125" customWidth="1"/>
    <col min="771" max="771" width="14.42578125" customWidth="1"/>
    <col min="772" max="772" width="15.140625" customWidth="1"/>
    <col min="773" max="773" width="14" customWidth="1"/>
    <col min="774" max="774" width="14.5703125" customWidth="1"/>
    <col min="775" max="775" width="9.85546875" customWidth="1"/>
    <col min="779" max="779" width="9.140625" customWidth="1"/>
    <col min="780" max="780" width="14.85546875" customWidth="1"/>
    <col min="781" max="781" width="15.42578125" customWidth="1"/>
    <col min="782" max="782" width="14.85546875" customWidth="1"/>
    <col min="783" max="783" width="15.28515625" customWidth="1"/>
    <col min="784" max="784" width="20.7109375" customWidth="1"/>
    <col min="1025" max="1025" width="4.42578125" customWidth="1"/>
    <col min="1026" max="1026" width="33.42578125" customWidth="1"/>
    <col min="1027" max="1027" width="14.42578125" customWidth="1"/>
    <col min="1028" max="1028" width="15.140625" customWidth="1"/>
    <col min="1029" max="1029" width="14" customWidth="1"/>
    <col min="1030" max="1030" width="14.5703125" customWidth="1"/>
    <col min="1031" max="1031" width="9.85546875" customWidth="1"/>
    <col min="1035" max="1035" width="9.140625" customWidth="1"/>
    <col min="1036" max="1036" width="14.85546875" customWidth="1"/>
    <col min="1037" max="1037" width="15.42578125" customWidth="1"/>
    <col min="1038" max="1038" width="14.85546875" customWidth="1"/>
    <col min="1039" max="1039" width="15.28515625" customWidth="1"/>
    <col min="1040" max="1040" width="20.7109375" customWidth="1"/>
    <col min="1281" max="1281" width="4.42578125" customWidth="1"/>
    <col min="1282" max="1282" width="33.42578125" customWidth="1"/>
    <col min="1283" max="1283" width="14.42578125" customWidth="1"/>
    <col min="1284" max="1284" width="15.140625" customWidth="1"/>
    <col min="1285" max="1285" width="14" customWidth="1"/>
    <col min="1286" max="1286" width="14.5703125" customWidth="1"/>
    <col min="1287" max="1287" width="9.85546875" customWidth="1"/>
    <col min="1291" max="1291" width="9.140625" customWidth="1"/>
    <col min="1292" max="1292" width="14.85546875" customWidth="1"/>
    <col min="1293" max="1293" width="15.42578125" customWidth="1"/>
    <col min="1294" max="1294" width="14.85546875" customWidth="1"/>
    <col min="1295" max="1295" width="15.28515625" customWidth="1"/>
    <col min="1296" max="1296" width="20.7109375" customWidth="1"/>
    <col min="1537" max="1537" width="4.42578125" customWidth="1"/>
    <col min="1538" max="1538" width="33.42578125" customWidth="1"/>
    <col min="1539" max="1539" width="14.42578125" customWidth="1"/>
    <col min="1540" max="1540" width="15.140625" customWidth="1"/>
    <col min="1541" max="1541" width="14" customWidth="1"/>
    <col min="1542" max="1542" width="14.5703125" customWidth="1"/>
    <col min="1543" max="1543" width="9.85546875" customWidth="1"/>
    <col min="1547" max="1547" width="9.140625" customWidth="1"/>
    <col min="1548" max="1548" width="14.85546875" customWidth="1"/>
    <col min="1549" max="1549" width="15.42578125" customWidth="1"/>
    <col min="1550" max="1550" width="14.85546875" customWidth="1"/>
    <col min="1551" max="1551" width="15.28515625" customWidth="1"/>
    <col min="1552" max="1552" width="20.7109375" customWidth="1"/>
    <col min="1793" max="1793" width="4.42578125" customWidth="1"/>
    <col min="1794" max="1794" width="33.42578125" customWidth="1"/>
    <col min="1795" max="1795" width="14.42578125" customWidth="1"/>
    <col min="1796" max="1796" width="15.140625" customWidth="1"/>
    <col min="1797" max="1797" width="14" customWidth="1"/>
    <col min="1798" max="1798" width="14.5703125" customWidth="1"/>
    <col min="1799" max="1799" width="9.85546875" customWidth="1"/>
    <col min="1803" max="1803" width="9.140625" customWidth="1"/>
    <col min="1804" max="1804" width="14.85546875" customWidth="1"/>
    <col min="1805" max="1805" width="15.42578125" customWidth="1"/>
    <col min="1806" max="1806" width="14.85546875" customWidth="1"/>
    <col min="1807" max="1807" width="15.28515625" customWidth="1"/>
    <col min="1808" max="1808" width="20.7109375" customWidth="1"/>
    <col min="2049" max="2049" width="4.42578125" customWidth="1"/>
    <col min="2050" max="2050" width="33.42578125" customWidth="1"/>
    <col min="2051" max="2051" width="14.42578125" customWidth="1"/>
    <col min="2052" max="2052" width="15.140625" customWidth="1"/>
    <col min="2053" max="2053" width="14" customWidth="1"/>
    <col min="2054" max="2054" width="14.5703125" customWidth="1"/>
    <col min="2055" max="2055" width="9.85546875" customWidth="1"/>
    <col min="2059" max="2059" width="9.140625" customWidth="1"/>
    <col min="2060" max="2060" width="14.85546875" customWidth="1"/>
    <col min="2061" max="2061" width="15.42578125" customWidth="1"/>
    <col min="2062" max="2062" width="14.85546875" customWidth="1"/>
    <col min="2063" max="2063" width="15.28515625" customWidth="1"/>
    <col min="2064" max="2064" width="20.7109375" customWidth="1"/>
    <col min="2305" max="2305" width="4.42578125" customWidth="1"/>
    <col min="2306" max="2306" width="33.42578125" customWidth="1"/>
    <col min="2307" max="2307" width="14.42578125" customWidth="1"/>
    <col min="2308" max="2308" width="15.140625" customWidth="1"/>
    <col min="2309" max="2309" width="14" customWidth="1"/>
    <col min="2310" max="2310" width="14.5703125" customWidth="1"/>
    <col min="2311" max="2311" width="9.85546875" customWidth="1"/>
    <col min="2315" max="2315" width="9.140625" customWidth="1"/>
    <col min="2316" max="2316" width="14.85546875" customWidth="1"/>
    <col min="2317" max="2317" width="15.42578125" customWidth="1"/>
    <col min="2318" max="2318" width="14.85546875" customWidth="1"/>
    <col min="2319" max="2319" width="15.28515625" customWidth="1"/>
    <col min="2320" max="2320" width="20.7109375" customWidth="1"/>
    <col min="2561" max="2561" width="4.42578125" customWidth="1"/>
    <col min="2562" max="2562" width="33.42578125" customWidth="1"/>
    <col min="2563" max="2563" width="14.42578125" customWidth="1"/>
    <col min="2564" max="2564" width="15.140625" customWidth="1"/>
    <col min="2565" max="2565" width="14" customWidth="1"/>
    <col min="2566" max="2566" width="14.5703125" customWidth="1"/>
    <col min="2567" max="2567" width="9.85546875" customWidth="1"/>
    <col min="2571" max="2571" width="9.140625" customWidth="1"/>
    <col min="2572" max="2572" width="14.85546875" customWidth="1"/>
    <col min="2573" max="2573" width="15.42578125" customWidth="1"/>
    <col min="2574" max="2574" width="14.85546875" customWidth="1"/>
    <col min="2575" max="2575" width="15.28515625" customWidth="1"/>
    <col min="2576" max="2576" width="20.7109375" customWidth="1"/>
    <col min="2817" max="2817" width="4.42578125" customWidth="1"/>
    <col min="2818" max="2818" width="33.42578125" customWidth="1"/>
    <col min="2819" max="2819" width="14.42578125" customWidth="1"/>
    <col min="2820" max="2820" width="15.140625" customWidth="1"/>
    <col min="2821" max="2821" width="14" customWidth="1"/>
    <col min="2822" max="2822" width="14.5703125" customWidth="1"/>
    <col min="2823" max="2823" width="9.85546875" customWidth="1"/>
    <col min="2827" max="2827" width="9.140625" customWidth="1"/>
    <col min="2828" max="2828" width="14.85546875" customWidth="1"/>
    <col min="2829" max="2829" width="15.42578125" customWidth="1"/>
    <col min="2830" max="2830" width="14.85546875" customWidth="1"/>
    <col min="2831" max="2831" width="15.28515625" customWidth="1"/>
    <col min="2832" max="2832" width="20.7109375" customWidth="1"/>
    <col min="3073" max="3073" width="4.42578125" customWidth="1"/>
    <col min="3074" max="3074" width="33.42578125" customWidth="1"/>
    <col min="3075" max="3075" width="14.42578125" customWidth="1"/>
    <col min="3076" max="3076" width="15.140625" customWidth="1"/>
    <col min="3077" max="3077" width="14" customWidth="1"/>
    <col min="3078" max="3078" width="14.5703125" customWidth="1"/>
    <col min="3079" max="3079" width="9.85546875" customWidth="1"/>
    <col min="3083" max="3083" width="9.140625" customWidth="1"/>
    <col min="3084" max="3084" width="14.85546875" customWidth="1"/>
    <col min="3085" max="3085" width="15.42578125" customWidth="1"/>
    <col min="3086" max="3086" width="14.85546875" customWidth="1"/>
    <col min="3087" max="3087" width="15.28515625" customWidth="1"/>
    <col min="3088" max="3088" width="20.7109375" customWidth="1"/>
    <col min="3329" max="3329" width="4.42578125" customWidth="1"/>
    <col min="3330" max="3330" width="33.42578125" customWidth="1"/>
    <col min="3331" max="3331" width="14.42578125" customWidth="1"/>
    <col min="3332" max="3332" width="15.140625" customWidth="1"/>
    <col min="3333" max="3333" width="14" customWidth="1"/>
    <col min="3334" max="3334" width="14.5703125" customWidth="1"/>
    <col min="3335" max="3335" width="9.85546875" customWidth="1"/>
    <col min="3339" max="3339" width="9.140625" customWidth="1"/>
    <col min="3340" max="3340" width="14.85546875" customWidth="1"/>
    <col min="3341" max="3341" width="15.42578125" customWidth="1"/>
    <col min="3342" max="3342" width="14.85546875" customWidth="1"/>
    <col min="3343" max="3343" width="15.28515625" customWidth="1"/>
    <col min="3344" max="3344" width="20.7109375" customWidth="1"/>
    <col min="3585" max="3585" width="4.42578125" customWidth="1"/>
    <col min="3586" max="3586" width="33.42578125" customWidth="1"/>
    <col min="3587" max="3587" width="14.42578125" customWidth="1"/>
    <col min="3588" max="3588" width="15.140625" customWidth="1"/>
    <col min="3589" max="3589" width="14" customWidth="1"/>
    <col min="3590" max="3590" width="14.5703125" customWidth="1"/>
    <col min="3591" max="3591" width="9.85546875" customWidth="1"/>
    <col min="3595" max="3595" width="9.140625" customWidth="1"/>
    <col min="3596" max="3596" width="14.85546875" customWidth="1"/>
    <col min="3597" max="3597" width="15.42578125" customWidth="1"/>
    <col min="3598" max="3598" width="14.85546875" customWidth="1"/>
    <col min="3599" max="3599" width="15.28515625" customWidth="1"/>
    <col min="3600" max="3600" width="20.7109375" customWidth="1"/>
    <col min="3841" max="3841" width="4.42578125" customWidth="1"/>
    <col min="3842" max="3842" width="33.42578125" customWidth="1"/>
    <col min="3843" max="3843" width="14.42578125" customWidth="1"/>
    <col min="3844" max="3844" width="15.140625" customWidth="1"/>
    <col min="3845" max="3845" width="14" customWidth="1"/>
    <col min="3846" max="3846" width="14.5703125" customWidth="1"/>
    <col min="3847" max="3847" width="9.85546875" customWidth="1"/>
    <col min="3851" max="3851" width="9.140625" customWidth="1"/>
    <col min="3852" max="3852" width="14.85546875" customWidth="1"/>
    <col min="3853" max="3853" width="15.42578125" customWidth="1"/>
    <col min="3854" max="3854" width="14.85546875" customWidth="1"/>
    <col min="3855" max="3855" width="15.28515625" customWidth="1"/>
    <col min="3856" max="3856" width="20.7109375" customWidth="1"/>
    <col min="4097" max="4097" width="4.42578125" customWidth="1"/>
    <col min="4098" max="4098" width="33.42578125" customWidth="1"/>
    <col min="4099" max="4099" width="14.42578125" customWidth="1"/>
    <col min="4100" max="4100" width="15.140625" customWidth="1"/>
    <col min="4101" max="4101" width="14" customWidth="1"/>
    <col min="4102" max="4102" width="14.5703125" customWidth="1"/>
    <col min="4103" max="4103" width="9.85546875" customWidth="1"/>
    <col min="4107" max="4107" width="9.140625" customWidth="1"/>
    <col min="4108" max="4108" width="14.85546875" customWidth="1"/>
    <col min="4109" max="4109" width="15.42578125" customWidth="1"/>
    <col min="4110" max="4110" width="14.85546875" customWidth="1"/>
    <col min="4111" max="4111" width="15.28515625" customWidth="1"/>
    <col min="4112" max="4112" width="20.7109375" customWidth="1"/>
    <col min="4353" max="4353" width="4.42578125" customWidth="1"/>
    <col min="4354" max="4354" width="33.42578125" customWidth="1"/>
    <col min="4355" max="4355" width="14.42578125" customWidth="1"/>
    <col min="4356" max="4356" width="15.140625" customWidth="1"/>
    <col min="4357" max="4357" width="14" customWidth="1"/>
    <col min="4358" max="4358" width="14.5703125" customWidth="1"/>
    <col min="4359" max="4359" width="9.85546875" customWidth="1"/>
    <col min="4363" max="4363" width="9.140625" customWidth="1"/>
    <col min="4364" max="4364" width="14.85546875" customWidth="1"/>
    <col min="4365" max="4365" width="15.42578125" customWidth="1"/>
    <col min="4366" max="4366" width="14.85546875" customWidth="1"/>
    <col min="4367" max="4367" width="15.28515625" customWidth="1"/>
    <col min="4368" max="4368" width="20.7109375" customWidth="1"/>
    <col min="4609" max="4609" width="4.42578125" customWidth="1"/>
    <col min="4610" max="4610" width="33.42578125" customWidth="1"/>
    <col min="4611" max="4611" width="14.42578125" customWidth="1"/>
    <col min="4612" max="4612" width="15.140625" customWidth="1"/>
    <col min="4613" max="4613" width="14" customWidth="1"/>
    <col min="4614" max="4614" width="14.5703125" customWidth="1"/>
    <col min="4615" max="4615" width="9.85546875" customWidth="1"/>
    <col min="4619" max="4619" width="9.140625" customWidth="1"/>
    <col min="4620" max="4620" width="14.85546875" customWidth="1"/>
    <col min="4621" max="4621" width="15.42578125" customWidth="1"/>
    <col min="4622" max="4622" width="14.85546875" customWidth="1"/>
    <col min="4623" max="4623" width="15.28515625" customWidth="1"/>
    <col min="4624" max="4624" width="20.7109375" customWidth="1"/>
    <col min="4865" max="4865" width="4.42578125" customWidth="1"/>
    <col min="4866" max="4866" width="33.42578125" customWidth="1"/>
    <col min="4867" max="4867" width="14.42578125" customWidth="1"/>
    <col min="4868" max="4868" width="15.140625" customWidth="1"/>
    <col min="4869" max="4869" width="14" customWidth="1"/>
    <col min="4870" max="4870" width="14.5703125" customWidth="1"/>
    <col min="4871" max="4871" width="9.85546875" customWidth="1"/>
    <col min="4875" max="4875" width="9.140625" customWidth="1"/>
    <col min="4876" max="4876" width="14.85546875" customWidth="1"/>
    <col min="4877" max="4877" width="15.42578125" customWidth="1"/>
    <col min="4878" max="4878" width="14.85546875" customWidth="1"/>
    <col min="4879" max="4879" width="15.28515625" customWidth="1"/>
    <col min="4880" max="4880" width="20.7109375" customWidth="1"/>
    <col min="5121" max="5121" width="4.42578125" customWidth="1"/>
    <col min="5122" max="5122" width="33.42578125" customWidth="1"/>
    <col min="5123" max="5123" width="14.42578125" customWidth="1"/>
    <col min="5124" max="5124" width="15.140625" customWidth="1"/>
    <col min="5125" max="5125" width="14" customWidth="1"/>
    <col min="5126" max="5126" width="14.5703125" customWidth="1"/>
    <col min="5127" max="5127" width="9.85546875" customWidth="1"/>
    <col min="5131" max="5131" width="9.140625" customWidth="1"/>
    <col min="5132" max="5132" width="14.85546875" customWidth="1"/>
    <col min="5133" max="5133" width="15.42578125" customWidth="1"/>
    <col min="5134" max="5134" width="14.85546875" customWidth="1"/>
    <col min="5135" max="5135" width="15.28515625" customWidth="1"/>
    <col min="5136" max="5136" width="20.7109375" customWidth="1"/>
    <col min="5377" max="5377" width="4.42578125" customWidth="1"/>
    <col min="5378" max="5378" width="33.42578125" customWidth="1"/>
    <col min="5379" max="5379" width="14.42578125" customWidth="1"/>
    <col min="5380" max="5380" width="15.140625" customWidth="1"/>
    <col min="5381" max="5381" width="14" customWidth="1"/>
    <col min="5382" max="5382" width="14.5703125" customWidth="1"/>
    <col min="5383" max="5383" width="9.85546875" customWidth="1"/>
    <col min="5387" max="5387" width="9.140625" customWidth="1"/>
    <col min="5388" max="5388" width="14.85546875" customWidth="1"/>
    <col min="5389" max="5389" width="15.42578125" customWidth="1"/>
    <col min="5390" max="5390" width="14.85546875" customWidth="1"/>
    <col min="5391" max="5391" width="15.28515625" customWidth="1"/>
    <col min="5392" max="5392" width="20.7109375" customWidth="1"/>
    <col min="5633" max="5633" width="4.42578125" customWidth="1"/>
    <col min="5634" max="5634" width="33.42578125" customWidth="1"/>
    <col min="5635" max="5635" width="14.42578125" customWidth="1"/>
    <col min="5636" max="5636" width="15.140625" customWidth="1"/>
    <col min="5637" max="5637" width="14" customWidth="1"/>
    <col min="5638" max="5638" width="14.5703125" customWidth="1"/>
    <col min="5639" max="5639" width="9.85546875" customWidth="1"/>
    <col min="5643" max="5643" width="9.140625" customWidth="1"/>
    <col min="5644" max="5644" width="14.85546875" customWidth="1"/>
    <col min="5645" max="5645" width="15.42578125" customWidth="1"/>
    <col min="5646" max="5646" width="14.85546875" customWidth="1"/>
    <col min="5647" max="5647" width="15.28515625" customWidth="1"/>
    <col min="5648" max="5648" width="20.7109375" customWidth="1"/>
    <col min="5889" max="5889" width="4.42578125" customWidth="1"/>
    <col min="5890" max="5890" width="33.42578125" customWidth="1"/>
    <col min="5891" max="5891" width="14.42578125" customWidth="1"/>
    <col min="5892" max="5892" width="15.140625" customWidth="1"/>
    <col min="5893" max="5893" width="14" customWidth="1"/>
    <col min="5894" max="5894" width="14.5703125" customWidth="1"/>
    <col min="5895" max="5895" width="9.85546875" customWidth="1"/>
    <col min="5899" max="5899" width="9.140625" customWidth="1"/>
    <col min="5900" max="5900" width="14.85546875" customWidth="1"/>
    <col min="5901" max="5901" width="15.42578125" customWidth="1"/>
    <col min="5902" max="5902" width="14.85546875" customWidth="1"/>
    <col min="5903" max="5903" width="15.28515625" customWidth="1"/>
    <col min="5904" max="5904" width="20.7109375" customWidth="1"/>
    <col min="6145" max="6145" width="4.42578125" customWidth="1"/>
    <col min="6146" max="6146" width="33.42578125" customWidth="1"/>
    <col min="6147" max="6147" width="14.42578125" customWidth="1"/>
    <col min="6148" max="6148" width="15.140625" customWidth="1"/>
    <col min="6149" max="6149" width="14" customWidth="1"/>
    <col min="6150" max="6150" width="14.5703125" customWidth="1"/>
    <col min="6151" max="6151" width="9.85546875" customWidth="1"/>
    <col min="6155" max="6155" width="9.140625" customWidth="1"/>
    <col min="6156" max="6156" width="14.85546875" customWidth="1"/>
    <col min="6157" max="6157" width="15.42578125" customWidth="1"/>
    <col min="6158" max="6158" width="14.85546875" customWidth="1"/>
    <col min="6159" max="6159" width="15.28515625" customWidth="1"/>
    <col min="6160" max="6160" width="20.7109375" customWidth="1"/>
    <col min="6401" max="6401" width="4.42578125" customWidth="1"/>
    <col min="6402" max="6402" width="33.42578125" customWidth="1"/>
    <col min="6403" max="6403" width="14.42578125" customWidth="1"/>
    <col min="6404" max="6404" width="15.140625" customWidth="1"/>
    <col min="6405" max="6405" width="14" customWidth="1"/>
    <col min="6406" max="6406" width="14.5703125" customWidth="1"/>
    <col min="6407" max="6407" width="9.85546875" customWidth="1"/>
    <col min="6411" max="6411" width="9.140625" customWidth="1"/>
    <col min="6412" max="6412" width="14.85546875" customWidth="1"/>
    <col min="6413" max="6413" width="15.42578125" customWidth="1"/>
    <col min="6414" max="6414" width="14.85546875" customWidth="1"/>
    <col min="6415" max="6415" width="15.28515625" customWidth="1"/>
    <col min="6416" max="6416" width="20.7109375" customWidth="1"/>
    <col min="6657" max="6657" width="4.42578125" customWidth="1"/>
    <col min="6658" max="6658" width="33.42578125" customWidth="1"/>
    <col min="6659" max="6659" width="14.42578125" customWidth="1"/>
    <col min="6660" max="6660" width="15.140625" customWidth="1"/>
    <col min="6661" max="6661" width="14" customWidth="1"/>
    <col min="6662" max="6662" width="14.5703125" customWidth="1"/>
    <col min="6663" max="6663" width="9.85546875" customWidth="1"/>
    <col min="6667" max="6667" width="9.140625" customWidth="1"/>
    <col min="6668" max="6668" width="14.85546875" customWidth="1"/>
    <col min="6669" max="6669" width="15.42578125" customWidth="1"/>
    <col min="6670" max="6670" width="14.85546875" customWidth="1"/>
    <col min="6671" max="6671" width="15.28515625" customWidth="1"/>
    <col min="6672" max="6672" width="20.7109375" customWidth="1"/>
    <col min="6913" max="6913" width="4.42578125" customWidth="1"/>
    <col min="6914" max="6914" width="33.42578125" customWidth="1"/>
    <col min="6915" max="6915" width="14.42578125" customWidth="1"/>
    <col min="6916" max="6916" width="15.140625" customWidth="1"/>
    <col min="6917" max="6917" width="14" customWidth="1"/>
    <col min="6918" max="6918" width="14.5703125" customWidth="1"/>
    <col min="6919" max="6919" width="9.85546875" customWidth="1"/>
    <col min="6923" max="6923" width="9.140625" customWidth="1"/>
    <col min="6924" max="6924" width="14.85546875" customWidth="1"/>
    <col min="6925" max="6925" width="15.42578125" customWidth="1"/>
    <col min="6926" max="6926" width="14.85546875" customWidth="1"/>
    <col min="6927" max="6927" width="15.28515625" customWidth="1"/>
    <col min="6928" max="6928" width="20.7109375" customWidth="1"/>
    <col min="7169" max="7169" width="4.42578125" customWidth="1"/>
    <col min="7170" max="7170" width="33.42578125" customWidth="1"/>
    <col min="7171" max="7171" width="14.42578125" customWidth="1"/>
    <col min="7172" max="7172" width="15.140625" customWidth="1"/>
    <col min="7173" max="7173" width="14" customWidth="1"/>
    <col min="7174" max="7174" width="14.5703125" customWidth="1"/>
    <col min="7175" max="7175" width="9.85546875" customWidth="1"/>
    <col min="7179" max="7179" width="9.140625" customWidth="1"/>
    <col min="7180" max="7180" width="14.85546875" customWidth="1"/>
    <col min="7181" max="7181" width="15.42578125" customWidth="1"/>
    <col min="7182" max="7182" width="14.85546875" customWidth="1"/>
    <col min="7183" max="7183" width="15.28515625" customWidth="1"/>
    <col min="7184" max="7184" width="20.7109375" customWidth="1"/>
    <col min="7425" max="7425" width="4.42578125" customWidth="1"/>
    <col min="7426" max="7426" width="33.42578125" customWidth="1"/>
    <col min="7427" max="7427" width="14.42578125" customWidth="1"/>
    <col min="7428" max="7428" width="15.140625" customWidth="1"/>
    <col min="7429" max="7429" width="14" customWidth="1"/>
    <col min="7430" max="7430" width="14.5703125" customWidth="1"/>
    <col min="7431" max="7431" width="9.85546875" customWidth="1"/>
    <col min="7435" max="7435" width="9.140625" customWidth="1"/>
    <col min="7436" max="7436" width="14.85546875" customWidth="1"/>
    <col min="7437" max="7437" width="15.42578125" customWidth="1"/>
    <col min="7438" max="7438" width="14.85546875" customWidth="1"/>
    <col min="7439" max="7439" width="15.28515625" customWidth="1"/>
    <col min="7440" max="7440" width="20.7109375" customWidth="1"/>
    <col min="7681" max="7681" width="4.42578125" customWidth="1"/>
    <col min="7682" max="7682" width="33.42578125" customWidth="1"/>
    <col min="7683" max="7683" width="14.42578125" customWidth="1"/>
    <col min="7684" max="7684" width="15.140625" customWidth="1"/>
    <col min="7685" max="7685" width="14" customWidth="1"/>
    <col min="7686" max="7686" width="14.5703125" customWidth="1"/>
    <col min="7687" max="7687" width="9.85546875" customWidth="1"/>
    <col min="7691" max="7691" width="9.140625" customWidth="1"/>
    <col min="7692" max="7692" width="14.85546875" customWidth="1"/>
    <col min="7693" max="7693" width="15.42578125" customWidth="1"/>
    <col min="7694" max="7694" width="14.85546875" customWidth="1"/>
    <col min="7695" max="7695" width="15.28515625" customWidth="1"/>
    <col min="7696" max="7696" width="20.7109375" customWidth="1"/>
    <col min="7937" max="7937" width="4.42578125" customWidth="1"/>
    <col min="7938" max="7938" width="33.42578125" customWidth="1"/>
    <col min="7939" max="7939" width="14.42578125" customWidth="1"/>
    <col min="7940" max="7940" width="15.140625" customWidth="1"/>
    <col min="7941" max="7941" width="14" customWidth="1"/>
    <col min="7942" max="7942" width="14.5703125" customWidth="1"/>
    <col min="7943" max="7943" width="9.85546875" customWidth="1"/>
    <col min="7947" max="7947" width="9.140625" customWidth="1"/>
    <col min="7948" max="7948" width="14.85546875" customWidth="1"/>
    <col min="7949" max="7949" width="15.42578125" customWidth="1"/>
    <col min="7950" max="7950" width="14.85546875" customWidth="1"/>
    <col min="7951" max="7951" width="15.28515625" customWidth="1"/>
    <col min="7952" max="7952" width="20.7109375" customWidth="1"/>
    <col min="8193" max="8193" width="4.42578125" customWidth="1"/>
    <col min="8194" max="8194" width="33.42578125" customWidth="1"/>
    <col min="8195" max="8195" width="14.42578125" customWidth="1"/>
    <col min="8196" max="8196" width="15.140625" customWidth="1"/>
    <col min="8197" max="8197" width="14" customWidth="1"/>
    <col min="8198" max="8198" width="14.5703125" customWidth="1"/>
    <col min="8199" max="8199" width="9.85546875" customWidth="1"/>
    <col min="8203" max="8203" width="9.140625" customWidth="1"/>
    <col min="8204" max="8204" width="14.85546875" customWidth="1"/>
    <col min="8205" max="8205" width="15.42578125" customWidth="1"/>
    <col min="8206" max="8206" width="14.85546875" customWidth="1"/>
    <col min="8207" max="8207" width="15.28515625" customWidth="1"/>
    <col min="8208" max="8208" width="20.7109375" customWidth="1"/>
    <col min="8449" max="8449" width="4.42578125" customWidth="1"/>
    <col min="8450" max="8450" width="33.42578125" customWidth="1"/>
    <col min="8451" max="8451" width="14.42578125" customWidth="1"/>
    <col min="8452" max="8452" width="15.140625" customWidth="1"/>
    <col min="8453" max="8453" width="14" customWidth="1"/>
    <col min="8454" max="8454" width="14.5703125" customWidth="1"/>
    <col min="8455" max="8455" width="9.85546875" customWidth="1"/>
    <col min="8459" max="8459" width="9.140625" customWidth="1"/>
    <col min="8460" max="8460" width="14.85546875" customWidth="1"/>
    <col min="8461" max="8461" width="15.42578125" customWidth="1"/>
    <col min="8462" max="8462" width="14.85546875" customWidth="1"/>
    <col min="8463" max="8463" width="15.28515625" customWidth="1"/>
    <col min="8464" max="8464" width="20.7109375" customWidth="1"/>
    <col min="8705" max="8705" width="4.42578125" customWidth="1"/>
    <col min="8706" max="8706" width="33.42578125" customWidth="1"/>
    <col min="8707" max="8707" width="14.42578125" customWidth="1"/>
    <col min="8708" max="8708" width="15.140625" customWidth="1"/>
    <col min="8709" max="8709" width="14" customWidth="1"/>
    <col min="8710" max="8710" width="14.5703125" customWidth="1"/>
    <col min="8711" max="8711" width="9.85546875" customWidth="1"/>
    <col min="8715" max="8715" width="9.140625" customWidth="1"/>
    <col min="8716" max="8716" width="14.85546875" customWidth="1"/>
    <col min="8717" max="8717" width="15.42578125" customWidth="1"/>
    <col min="8718" max="8718" width="14.85546875" customWidth="1"/>
    <col min="8719" max="8719" width="15.28515625" customWidth="1"/>
    <col min="8720" max="8720" width="20.7109375" customWidth="1"/>
    <col min="8961" max="8961" width="4.42578125" customWidth="1"/>
    <col min="8962" max="8962" width="33.42578125" customWidth="1"/>
    <col min="8963" max="8963" width="14.42578125" customWidth="1"/>
    <col min="8964" max="8964" width="15.140625" customWidth="1"/>
    <col min="8965" max="8965" width="14" customWidth="1"/>
    <col min="8966" max="8966" width="14.5703125" customWidth="1"/>
    <col min="8967" max="8967" width="9.85546875" customWidth="1"/>
    <col min="8971" max="8971" width="9.140625" customWidth="1"/>
    <col min="8972" max="8972" width="14.85546875" customWidth="1"/>
    <col min="8973" max="8973" width="15.42578125" customWidth="1"/>
    <col min="8974" max="8974" width="14.85546875" customWidth="1"/>
    <col min="8975" max="8975" width="15.28515625" customWidth="1"/>
    <col min="8976" max="8976" width="20.7109375" customWidth="1"/>
    <col min="9217" max="9217" width="4.42578125" customWidth="1"/>
    <col min="9218" max="9218" width="33.42578125" customWidth="1"/>
    <col min="9219" max="9219" width="14.42578125" customWidth="1"/>
    <col min="9220" max="9220" width="15.140625" customWidth="1"/>
    <col min="9221" max="9221" width="14" customWidth="1"/>
    <col min="9222" max="9222" width="14.5703125" customWidth="1"/>
    <col min="9223" max="9223" width="9.85546875" customWidth="1"/>
    <col min="9227" max="9227" width="9.140625" customWidth="1"/>
    <col min="9228" max="9228" width="14.85546875" customWidth="1"/>
    <col min="9229" max="9229" width="15.42578125" customWidth="1"/>
    <col min="9230" max="9230" width="14.85546875" customWidth="1"/>
    <col min="9231" max="9231" width="15.28515625" customWidth="1"/>
    <col min="9232" max="9232" width="20.7109375" customWidth="1"/>
    <col min="9473" max="9473" width="4.42578125" customWidth="1"/>
    <col min="9474" max="9474" width="33.42578125" customWidth="1"/>
    <col min="9475" max="9475" width="14.42578125" customWidth="1"/>
    <col min="9476" max="9476" width="15.140625" customWidth="1"/>
    <col min="9477" max="9477" width="14" customWidth="1"/>
    <col min="9478" max="9478" width="14.5703125" customWidth="1"/>
    <col min="9479" max="9479" width="9.85546875" customWidth="1"/>
    <col min="9483" max="9483" width="9.140625" customWidth="1"/>
    <col min="9484" max="9484" width="14.85546875" customWidth="1"/>
    <col min="9485" max="9485" width="15.42578125" customWidth="1"/>
    <col min="9486" max="9486" width="14.85546875" customWidth="1"/>
    <col min="9487" max="9487" width="15.28515625" customWidth="1"/>
    <col min="9488" max="9488" width="20.7109375" customWidth="1"/>
    <col min="9729" max="9729" width="4.42578125" customWidth="1"/>
    <col min="9730" max="9730" width="33.42578125" customWidth="1"/>
    <col min="9731" max="9731" width="14.42578125" customWidth="1"/>
    <col min="9732" max="9732" width="15.140625" customWidth="1"/>
    <col min="9733" max="9733" width="14" customWidth="1"/>
    <col min="9734" max="9734" width="14.5703125" customWidth="1"/>
    <col min="9735" max="9735" width="9.85546875" customWidth="1"/>
    <col min="9739" max="9739" width="9.140625" customWidth="1"/>
    <col min="9740" max="9740" width="14.85546875" customWidth="1"/>
    <col min="9741" max="9741" width="15.42578125" customWidth="1"/>
    <col min="9742" max="9742" width="14.85546875" customWidth="1"/>
    <col min="9743" max="9743" width="15.28515625" customWidth="1"/>
    <col min="9744" max="9744" width="20.7109375" customWidth="1"/>
    <col min="9985" max="9985" width="4.42578125" customWidth="1"/>
    <col min="9986" max="9986" width="33.42578125" customWidth="1"/>
    <col min="9987" max="9987" width="14.42578125" customWidth="1"/>
    <col min="9988" max="9988" width="15.140625" customWidth="1"/>
    <col min="9989" max="9989" width="14" customWidth="1"/>
    <col min="9990" max="9990" width="14.5703125" customWidth="1"/>
    <col min="9991" max="9991" width="9.85546875" customWidth="1"/>
    <col min="9995" max="9995" width="9.140625" customWidth="1"/>
    <col min="9996" max="9996" width="14.85546875" customWidth="1"/>
    <col min="9997" max="9997" width="15.42578125" customWidth="1"/>
    <col min="9998" max="9998" width="14.85546875" customWidth="1"/>
    <col min="9999" max="9999" width="15.28515625" customWidth="1"/>
    <col min="10000" max="10000" width="20.7109375" customWidth="1"/>
    <col min="10241" max="10241" width="4.42578125" customWidth="1"/>
    <col min="10242" max="10242" width="33.42578125" customWidth="1"/>
    <col min="10243" max="10243" width="14.42578125" customWidth="1"/>
    <col min="10244" max="10244" width="15.140625" customWidth="1"/>
    <col min="10245" max="10245" width="14" customWidth="1"/>
    <col min="10246" max="10246" width="14.5703125" customWidth="1"/>
    <col min="10247" max="10247" width="9.85546875" customWidth="1"/>
    <col min="10251" max="10251" width="9.140625" customWidth="1"/>
    <col min="10252" max="10252" width="14.85546875" customWidth="1"/>
    <col min="10253" max="10253" width="15.42578125" customWidth="1"/>
    <col min="10254" max="10254" width="14.85546875" customWidth="1"/>
    <col min="10255" max="10255" width="15.28515625" customWidth="1"/>
    <col min="10256" max="10256" width="20.7109375" customWidth="1"/>
    <col min="10497" max="10497" width="4.42578125" customWidth="1"/>
    <col min="10498" max="10498" width="33.42578125" customWidth="1"/>
    <col min="10499" max="10499" width="14.42578125" customWidth="1"/>
    <col min="10500" max="10500" width="15.140625" customWidth="1"/>
    <col min="10501" max="10501" width="14" customWidth="1"/>
    <col min="10502" max="10502" width="14.5703125" customWidth="1"/>
    <col min="10503" max="10503" width="9.85546875" customWidth="1"/>
    <col min="10507" max="10507" width="9.140625" customWidth="1"/>
    <col min="10508" max="10508" width="14.85546875" customWidth="1"/>
    <col min="10509" max="10509" width="15.42578125" customWidth="1"/>
    <col min="10510" max="10510" width="14.85546875" customWidth="1"/>
    <col min="10511" max="10511" width="15.28515625" customWidth="1"/>
    <col min="10512" max="10512" width="20.7109375" customWidth="1"/>
    <col min="10753" max="10753" width="4.42578125" customWidth="1"/>
    <col min="10754" max="10754" width="33.42578125" customWidth="1"/>
    <col min="10755" max="10755" width="14.42578125" customWidth="1"/>
    <col min="10756" max="10756" width="15.140625" customWidth="1"/>
    <col min="10757" max="10757" width="14" customWidth="1"/>
    <col min="10758" max="10758" width="14.5703125" customWidth="1"/>
    <col min="10759" max="10759" width="9.85546875" customWidth="1"/>
    <col min="10763" max="10763" width="9.140625" customWidth="1"/>
    <col min="10764" max="10764" width="14.85546875" customWidth="1"/>
    <col min="10765" max="10765" width="15.42578125" customWidth="1"/>
    <col min="10766" max="10766" width="14.85546875" customWidth="1"/>
    <col min="10767" max="10767" width="15.28515625" customWidth="1"/>
    <col min="10768" max="10768" width="20.7109375" customWidth="1"/>
    <col min="11009" max="11009" width="4.42578125" customWidth="1"/>
    <col min="11010" max="11010" width="33.42578125" customWidth="1"/>
    <col min="11011" max="11011" width="14.42578125" customWidth="1"/>
    <col min="11012" max="11012" width="15.140625" customWidth="1"/>
    <col min="11013" max="11013" width="14" customWidth="1"/>
    <col min="11014" max="11014" width="14.5703125" customWidth="1"/>
    <col min="11015" max="11015" width="9.85546875" customWidth="1"/>
    <col min="11019" max="11019" width="9.140625" customWidth="1"/>
    <col min="11020" max="11020" width="14.85546875" customWidth="1"/>
    <col min="11021" max="11021" width="15.42578125" customWidth="1"/>
    <col min="11022" max="11022" width="14.85546875" customWidth="1"/>
    <col min="11023" max="11023" width="15.28515625" customWidth="1"/>
    <col min="11024" max="11024" width="20.7109375" customWidth="1"/>
    <col min="11265" max="11265" width="4.42578125" customWidth="1"/>
    <col min="11266" max="11266" width="33.42578125" customWidth="1"/>
    <col min="11267" max="11267" width="14.42578125" customWidth="1"/>
    <col min="11268" max="11268" width="15.140625" customWidth="1"/>
    <col min="11269" max="11269" width="14" customWidth="1"/>
    <col min="11270" max="11270" width="14.5703125" customWidth="1"/>
    <col min="11271" max="11271" width="9.85546875" customWidth="1"/>
    <col min="11275" max="11275" width="9.140625" customWidth="1"/>
    <col min="11276" max="11276" width="14.85546875" customWidth="1"/>
    <col min="11277" max="11277" width="15.42578125" customWidth="1"/>
    <col min="11278" max="11278" width="14.85546875" customWidth="1"/>
    <col min="11279" max="11279" width="15.28515625" customWidth="1"/>
    <col min="11280" max="11280" width="20.7109375" customWidth="1"/>
    <col min="11521" max="11521" width="4.42578125" customWidth="1"/>
    <col min="11522" max="11522" width="33.42578125" customWidth="1"/>
    <col min="11523" max="11523" width="14.42578125" customWidth="1"/>
    <col min="11524" max="11524" width="15.140625" customWidth="1"/>
    <col min="11525" max="11525" width="14" customWidth="1"/>
    <col min="11526" max="11526" width="14.5703125" customWidth="1"/>
    <col min="11527" max="11527" width="9.85546875" customWidth="1"/>
    <col min="11531" max="11531" width="9.140625" customWidth="1"/>
    <col min="11532" max="11532" width="14.85546875" customWidth="1"/>
    <col min="11533" max="11533" width="15.42578125" customWidth="1"/>
    <col min="11534" max="11534" width="14.85546875" customWidth="1"/>
    <col min="11535" max="11535" width="15.28515625" customWidth="1"/>
    <col min="11536" max="11536" width="20.7109375" customWidth="1"/>
    <col min="11777" max="11777" width="4.42578125" customWidth="1"/>
    <col min="11778" max="11778" width="33.42578125" customWidth="1"/>
    <col min="11779" max="11779" width="14.42578125" customWidth="1"/>
    <col min="11780" max="11780" width="15.140625" customWidth="1"/>
    <col min="11781" max="11781" width="14" customWidth="1"/>
    <col min="11782" max="11782" width="14.5703125" customWidth="1"/>
    <col min="11783" max="11783" width="9.85546875" customWidth="1"/>
    <col min="11787" max="11787" width="9.140625" customWidth="1"/>
    <col min="11788" max="11788" width="14.85546875" customWidth="1"/>
    <col min="11789" max="11789" width="15.42578125" customWidth="1"/>
    <col min="11790" max="11790" width="14.85546875" customWidth="1"/>
    <col min="11791" max="11791" width="15.28515625" customWidth="1"/>
    <col min="11792" max="11792" width="20.7109375" customWidth="1"/>
    <col min="12033" max="12033" width="4.42578125" customWidth="1"/>
    <col min="12034" max="12034" width="33.42578125" customWidth="1"/>
    <col min="12035" max="12035" width="14.42578125" customWidth="1"/>
    <col min="12036" max="12036" width="15.140625" customWidth="1"/>
    <col min="12037" max="12037" width="14" customWidth="1"/>
    <col min="12038" max="12038" width="14.5703125" customWidth="1"/>
    <col min="12039" max="12039" width="9.85546875" customWidth="1"/>
    <col min="12043" max="12043" width="9.140625" customWidth="1"/>
    <col min="12044" max="12044" width="14.85546875" customWidth="1"/>
    <col min="12045" max="12045" width="15.42578125" customWidth="1"/>
    <col min="12046" max="12046" width="14.85546875" customWidth="1"/>
    <col min="12047" max="12047" width="15.28515625" customWidth="1"/>
    <col min="12048" max="12048" width="20.7109375" customWidth="1"/>
    <col min="12289" max="12289" width="4.42578125" customWidth="1"/>
    <col min="12290" max="12290" width="33.42578125" customWidth="1"/>
    <col min="12291" max="12291" width="14.42578125" customWidth="1"/>
    <col min="12292" max="12292" width="15.140625" customWidth="1"/>
    <col min="12293" max="12293" width="14" customWidth="1"/>
    <col min="12294" max="12294" width="14.5703125" customWidth="1"/>
    <col min="12295" max="12295" width="9.85546875" customWidth="1"/>
    <col min="12299" max="12299" width="9.140625" customWidth="1"/>
    <col min="12300" max="12300" width="14.85546875" customWidth="1"/>
    <col min="12301" max="12301" width="15.42578125" customWidth="1"/>
    <col min="12302" max="12302" width="14.85546875" customWidth="1"/>
    <col min="12303" max="12303" width="15.28515625" customWidth="1"/>
    <col min="12304" max="12304" width="20.7109375" customWidth="1"/>
    <col min="12545" max="12545" width="4.42578125" customWidth="1"/>
    <col min="12546" max="12546" width="33.42578125" customWidth="1"/>
    <col min="12547" max="12547" width="14.42578125" customWidth="1"/>
    <col min="12548" max="12548" width="15.140625" customWidth="1"/>
    <col min="12549" max="12549" width="14" customWidth="1"/>
    <col min="12550" max="12550" width="14.5703125" customWidth="1"/>
    <col min="12551" max="12551" width="9.85546875" customWidth="1"/>
    <col min="12555" max="12555" width="9.140625" customWidth="1"/>
    <col min="12556" max="12556" width="14.85546875" customWidth="1"/>
    <col min="12557" max="12557" width="15.42578125" customWidth="1"/>
    <col min="12558" max="12558" width="14.85546875" customWidth="1"/>
    <col min="12559" max="12559" width="15.28515625" customWidth="1"/>
    <col min="12560" max="12560" width="20.7109375" customWidth="1"/>
    <col min="12801" max="12801" width="4.42578125" customWidth="1"/>
    <col min="12802" max="12802" width="33.42578125" customWidth="1"/>
    <col min="12803" max="12803" width="14.42578125" customWidth="1"/>
    <col min="12804" max="12804" width="15.140625" customWidth="1"/>
    <col min="12805" max="12805" width="14" customWidth="1"/>
    <col min="12806" max="12806" width="14.5703125" customWidth="1"/>
    <col min="12807" max="12807" width="9.85546875" customWidth="1"/>
    <col min="12811" max="12811" width="9.140625" customWidth="1"/>
    <col min="12812" max="12812" width="14.85546875" customWidth="1"/>
    <col min="12813" max="12813" width="15.42578125" customWidth="1"/>
    <col min="12814" max="12814" width="14.85546875" customWidth="1"/>
    <col min="12815" max="12815" width="15.28515625" customWidth="1"/>
    <col min="12816" max="12816" width="20.7109375" customWidth="1"/>
    <col min="13057" max="13057" width="4.42578125" customWidth="1"/>
    <col min="13058" max="13058" width="33.42578125" customWidth="1"/>
    <col min="13059" max="13059" width="14.42578125" customWidth="1"/>
    <col min="13060" max="13060" width="15.140625" customWidth="1"/>
    <col min="13061" max="13061" width="14" customWidth="1"/>
    <col min="13062" max="13062" width="14.5703125" customWidth="1"/>
    <col min="13063" max="13063" width="9.85546875" customWidth="1"/>
    <col min="13067" max="13067" width="9.140625" customWidth="1"/>
    <col min="13068" max="13068" width="14.85546875" customWidth="1"/>
    <col min="13069" max="13069" width="15.42578125" customWidth="1"/>
    <col min="13070" max="13070" width="14.85546875" customWidth="1"/>
    <col min="13071" max="13071" width="15.28515625" customWidth="1"/>
    <col min="13072" max="13072" width="20.7109375" customWidth="1"/>
    <col min="13313" max="13313" width="4.42578125" customWidth="1"/>
    <col min="13314" max="13314" width="33.42578125" customWidth="1"/>
    <col min="13315" max="13315" width="14.42578125" customWidth="1"/>
    <col min="13316" max="13316" width="15.140625" customWidth="1"/>
    <col min="13317" max="13317" width="14" customWidth="1"/>
    <col min="13318" max="13318" width="14.5703125" customWidth="1"/>
    <col min="13319" max="13319" width="9.85546875" customWidth="1"/>
    <col min="13323" max="13323" width="9.140625" customWidth="1"/>
    <col min="13324" max="13324" width="14.85546875" customWidth="1"/>
    <col min="13325" max="13325" width="15.42578125" customWidth="1"/>
    <col min="13326" max="13326" width="14.85546875" customWidth="1"/>
    <col min="13327" max="13327" width="15.28515625" customWidth="1"/>
    <col min="13328" max="13328" width="20.7109375" customWidth="1"/>
    <col min="13569" max="13569" width="4.42578125" customWidth="1"/>
    <col min="13570" max="13570" width="33.42578125" customWidth="1"/>
    <col min="13571" max="13571" width="14.42578125" customWidth="1"/>
    <col min="13572" max="13572" width="15.140625" customWidth="1"/>
    <col min="13573" max="13573" width="14" customWidth="1"/>
    <col min="13574" max="13574" width="14.5703125" customWidth="1"/>
    <col min="13575" max="13575" width="9.85546875" customWidth="1"/>
    <col min="13579" max="13579" width="9.140625" customWidth="1"/>
    <col min="13580" max="13580" width="14.85546875" customWidth="1"/>
    <col min="13581" max="13581" width="15.42578125" customWidth="1"/>
    <col min="13582" max="13582" width="14.85546875" customWidth="1"/>
    <col min="13583" max="13583" width="15.28515625" customWidth="1"/>
    <col min="13584" max="13584" width="20.7109375" customWidth="1"/>
    <col min="13825" max="13825" width="4.42578125" customWidth="1"/>
    <col min="13826" max="13826" width="33.42578125" customWidth="1"/>
    <col min="13827" max="13827" width="14.42578125" customWidth="1"/>
    <col min="13828" max="13828" width="15.140625" customWidth="1"/>
    <col min="13829" max="13829" width="14" customWidth="1"/>
    <col min="13830" max="13830" width="14.5703125" customWidth="1"/>
    <col min="13831" max="13831" width="9.85546875" customWidth="1"/>
    <col min="13835" max="13835" width="9.140625" customWidth="1"/>
    <col min="13836" max="13836" width="14.85546875" customWidth="1"/>
    <col min="13837" max="13837" width="15.42578125" customWidth="1"/>
    <col min="13838" max="13838" width="14.85546875" customWidth="1"/>
    <col min="13839" max="13839" width="15.28515625" customWidth="1"/>
    <col min="13840" max="13840" width="20.7109375" customWidth="1"/>
    <col min="14081" max="14081" width="4.42578125" customWidth="1"/>
    <col min="14082" max="14082" width="33.42578125" customWidth="1"/>
    <col min="14083" max="14083" width="14.42578125" customWidth="1"/>
    <col min="14084" max="14084" width="15.140625" customWidth="1"/>
    <col min="14085" max="14085" width="14" customWidth="1"/>
    <col min="14086" max="14086" width="14.5703125" customWidth="1"/>
    <col min="14087" max="14087" width="9.85546875" customWidth="1"/>
    <col min="14091" max="14091" width="9.140625" customWidth="1"/>
    <col min="14092" max="14092" width="14.85546875" customWidth="1"/>
    <col min="14093" max="14093" width="15.42578125" customWidth="1"/>
    <col min="14094" max="14094" width="14.85546875" customWidth="1"/>
    <col min="14095" max="14095" width="15.28515625" customWidth="1"/>
    <col min="14096" max="14096" width="20.7109375" customWidth="1"/>
    <col min="14337" max="14337" width="4.42578125" customWidth="1"/>
    <col min="14338" max="14338" width="33.42578125" customWidth="1"/>
    <col min="14339" max="14339" width="14.42578125" customWidth="1"/>
    <col min="14340" max="14340" width="15.140625" customWidth="1"/>
    <col min="14341" max="14341" width="14" customWidth="1"/>
    <col min="14342" max="14342" width="14.5703125" customWidth="1"/>
    <col min="14343" max="14343" width="9.85546875" customWidth="1"/>
    <col min="14347" max="14347" width="9.140625" customWidth="1"/>
    <col min="14348" max="14348" width="14.85546875" customWidth="1"/>
    <col min="14349" max="14349" width="15.42578125" customWidth="1"/>
    <col min="14350" max="14350" width="14.85546875" customWidth="1"/>
    <col min="14351" max="14351" width="15.28515625" customWidth="1"/>
    <col min="14352" max="14352" width="20.7109375" customWidth="1"/>
    <col min="14593" max="14593" width="4.42578125" customWidth="1"/>
    <col min="14594" max="14594" width="33.42578125" customWidth="1"/>
    <col min="14595" max="14595" width="14.42578125" customWidth="1"/>
    <col min="14596" max="14596" width="15.140625" customWidth="1"/>
    <col min="14597" max="14597" width="14" customWidth="1"/>
    <col min="14598" max="14598" width="14.5703125" customWidth="1"/>
    <col min="14599" max="14599" width="9.85546875" customWidth="1"/>
    <col min="14603" max="14603" width="9.140625" customWidth="1"/>
    <col min="14604" max="14604" width="14.85546875" customWidth="1"/>
    <col min="14605" max="14605" width="15.42578125" customWidth="1"/>
    <col min="14606" max="14606" width="14.85546875" customWidth="1"/>
    <col min="14607" max="14607" width="15.28515625" customWidth="1"/>
    <col min="14608" max="14608" width="20.7109375" customWidth="1"/>
    <col min="14849" max="14849" width="4.42578125" customWidth="1"/>
    <col min="14850" max="14850" width="33.42578125" customWidth="1"/>
    <col min="14851" max="14851" width="14.42578125" customWidth="1"/>
    <col min="14852" max="14852" width="15.140625" customWidth="1"/>
    <col min="14853" max="14853" width="14" customWidth="1"/>
    <col min="14854" max="14854" width="14.5703125" customWidth="1"/>
    <col min="14855" max="14855" width="9.85546875" customWidth="1"/>
    <col min="14859" max="14859" width="9.140625" customWidth="1"/>
    <col min="14860" max="14860" width="14.85546875" customWidth="1"/>
    <col min="14861" max="14861" width="15.42578125" customWidth="1"/>
    <col min="14862" max="14862" width="14.85546875" customWidth="1"/>
    <col min="14863" max="14863" width="15.28515625" customWidth="1"/>
    <col min="14864" max="14864" width="20.7109375" customWidth="1"/>
    <col min="15105" max="15105" width="4.42578125" customWidth="1"/>
    <col min="15106" max="15106" width="33.42578125" customWidth="1"/>
    <col min="15107" max="15107" width="14.42578125" customWidth="1"/>
    <col min="15108" max="15108" width="15.140625" customWidth="1"/>
    <col min="15109" max="15109" width="14" customWidth="1"/>
    <col min="15110" max="15110" width="14.5703125" customWidth="1"/>
    <col min="15111" max="15111" width="9.85546875" customWidth="1"/>
    <col min="15115" max="15115" width="9.140625" customWidth="1"/>
    <col min="15116" max="15116" width="14.85546875" customWidth="1"/>
    <col min="15117" max="15117" width="15.42578125" customWidth="1"/>
    <col min="15118" max="15118" width="14.85546875" customWidth="1"/>
    <col min="15119" max="15119" width="15.28515625" customWidth="1"/>
    <col min="15120" max="15120" width="20.7109375" customWidth="1"/>
    <col min="15361" max="15361" width="4.42578125" customWidth="1"/>
    <col min="15362" max="15362" width="33.42578125" customWidth="1"/>
    <col min="15363" max="15363" width="14.42578125" customWidth="1"/>
    <col min="15364" max="15364" width="15.140625" customWidth="1"/>
    <col min="15365" max="15365" width="14" customWidth="1"/>
    <col min="15366" max="15366" width="14.5703125" customWidth="1"/>
    <col min="15367" max="15367" width="9.85546875" customWidth="1"/>
    <col min="15371" max="15371" width="9.140625" customWidth="1"/>
    <col min="15372" max="15372" width="14.85546875" customWidth="1"/>
    <col min="15373" max="15373" width="15.42578125" customWidth="1"/>
    <col min="15374" max="15374" width="14.85546875" customWidth="1"/>
    <col min="15375" max="15375" width="15.28515625" customWidth="1"/>
    <col min="15376" max="15376" width="20.7109375" customWidth="1"/>
    <col min="15617" max="15617" width="4.42578125" customWidth="1"/>
    <col min="15618" max="15618" width="33.42578125" customWidth="1"/>
    <col min="15619" max="15619" width="14.42578125" customWidth="1"/>
    <col min="15620" max="15620" width="15.140625" customWidth="1"/>
    <col min="15621" max="15621" width="14" customWidth="1"/>
    <col min="15622" max="15622" width="14.5703125" customWidth="1"/>
    <col min="15623" max="15623" width="9.85546875" customWidth="1"/>
    <col min="15627" max="15627" width="9.140625" customWidth="1"/>
    <col min="15628" max="15628" width="14.85546875" customWidth="1"/>
    <col min="15629" max="15629" width="15.42578125" customWidth="1"/>
    <col min="15630" max="15630" width="14.85546875" customWidth="1"/>
    <col min="15631" max="15631" width="15.28515625" customWidth="1"/>
    <col min="15632" max="15632" width="20.7109375" customWidth="1"/>
    <col min="15873" max="15873" width="4.42578125" customWidth="1"/>
    <col min="15874" max="15874" width="33.42578125" customWidth="1"/>
    <col min="15875" max="15875" width="14.42578125" customWidth="1"/>
    <col min="15876" max="15876" width="15.140625" customWidth="1"/>
    <col min="15877" max="15877" width="14" customWidth="1"/>
    <col min="15878" max="15878" width="14.5703125" customWidth="1"/>
    <col min="15879" max="15879" width="9.85546875" customWidth="1"/>
    <col min="15883" max="15883" width="9.140625" customWidth="1"/>
    <col min="15884" max="15884" width="14.85546875" customWidth="1"/>
    <col min="15885" max="15885" width="15.42578125" customWidth="1"/>
    <col min="15886" max="15886" width="14.85546875" customWidth="1"/>
    <col min="15887" max="15887" width="15.28515625" customWidth="1"/>
    <col min="15888" max="15888" width="20.7109375" customWidth="1"/>
    <col min="16129" max="16129" width="4.42578125" customWidth="1"/>
    <col min="16130" max="16130" width="33.42578125" customWidth="1"/>
    <col min="16131" max="16131" width="14.42578125" customWidth="1"/>
    <col min="16132" max="16132" width="15.140625" customWidth="1"/>
    <col min="16133" max="16133" width="14" customWidth="1"/>
    <col min="16134" max="16134" width="14.5703125" customWidth="1"/>
    <col min="16135" max="16135" width="9.85546875" customWidth="1"/>
    <col min="16139" max="16139" width="9.140625" customWidth="1"/>
    <col min="16140" max="16140" width="14.85546875" customWidth="1"/>
    <col min="16141" max="16141" width="15.42578125" customWidth="1"/>
    <col min="16142" max="16142" width="14.85546875" customWidth="1"/>
    <col min="16143" max="16143" width="15.28515625" customWidth="1"/>
    <col min="16144" max="16144" width="20.7109375" customWidth="1"/>
  </cols>
  <sheetData>
    <row r="2" spans="1:16">
      <c r="B2" s="124" t="s">
        <v>135</v>
      </c>
      <c r="C2" s="124"/>
      <c r="D2" s="124"/>
      <c r="E2" s="124"/>
      <c r="F2" s="124"/>
      <c r="G2" s="124"/>
    </row>
    <row r="3" spans="1:16">
      <c r="B3" s="61"/>
    </row>
    <row r="4" spans="1:16" ht="15.75">
      <c r="A4" s="62" t="s">
        <v>149</v>
      </c>
      <c r="B4" s="62"/>
      <c r="C4" s="62"/>
      <c r="D4" s="61"/>
    </row>
    <row r="5" spans="1:16" ht="15.75">
      <c r="A5" s="62" t="s">
        <v>136</v>
      </c>
      <c r="B5" s="62"/>
      <c r="C5" s="62"/>
      <c r="D5" s="61"/>
    </row>
    <row r="6" spans="1:16">
      <c r="A6" s="61"/>
    </row>
    <row r="7" spans="1:16" ht="18">
      <c r="A7" s="125" t="s">
        <v>137</v>
      </c>
      <c r="B7" s="125"/>
      <c r="C7" s="125"/>
      <c r="D7" s="125"/>
      <c r="E7" s="125"/>
      <c r="F7" s="125"/>
      <c r="G7" s="125"/>
    </row>
    <row r="8" spans="1:16" ht="18">
      <c r="A8" s="125" t="s">
        <v>138</v>
      </c>
      <c r="B8" s="125"/>
      <c r="C8" s="125"/>
      <c r="D8" s="125"/>
      <c r="E8" s="125"/>
      <c r="F8" s="125"/>
    </row>
    <row r="9" spans="1:16" ht="18">
      <c r="A9" s="125" t="s">
        <v>224</v>
      </c>
      <c r="B9" s="125"/>
      <c r="C9" s="125"/>
      <c r="D9" s="125"/>
      <c r="E9" s="125"/>
      <c r="F9" s="125"/>
    </row>
    <row r="10" spans="1:16" ht="19.5" customHeight="1">
      <c r="A10" s="61"/>
      <c r="B10" s="62"/>
      <c r="C10" s="62"/>
      <c r="D10" s="63" t="s">
        <v>139</v>
      </c>
      <c r="E10" s="63"/>
    </row>
    <row r="11" spans="1:16" ht="33" customHeight="1">
      <c r="A11" s="126" t="s">
        <v>140</v>
      </c>
      <c r="B11" s="128" t="s">
        <v>3</v>
      </c>
      <c r="C11" s="130" t="s">
        <v>141</v>
      </c>
      <c r="D11" s="130" t="s">
        <v>142</v>
      </c>
      <c r="E11" s="132" t="s">
        <v>143</v>
      </c>
      <c r="F11" s="132" t="s">
        <v>144</v>
      </c>
      <c r="G11" s="133" t="s">
        <v>145</v>
      </c>
    </row>
    <row r="12" spans="1:16" ht="26.25" customHeight="1">
      <c r="A12" s="127"/>
      <c r="B12" s="129"/>
      <c r="C12" s="131"/>
      <c r="D12" s="131"/>
      <c r="E12" s="132"/>
      <c r="F12" s="132"/>
      <c r="G12" s="133"/>
    </row>
    <row r="13" spans="1:16" s="68" customFormat="1" ht="18" customHeight="1">
      <c r="A13" s="64">
        <v>1</v>
      </c>
      <c r="B13" s="65" t="s">
        <v>60</v>
      </c>
      <c r="C13" s="66">
        <v>0</v>
      </c>
      <c r="D13" s="66">
        <v>21602000</v>
      </c>
      <c r="E13" s="66">
        <v>21602000</v>
      </c>
      <c r="F13" s="67">
        <f t="shared" ref="F13:F22" si="0">C13+D13-E13</f>
        <v>0</v>
      </c>
      <c r="G13" s="65"/>
      <c r="L13" s="69"/>
      <c r="M13" s="69"/>
      <c r="N13" s="69"/>
      <c r="O13" s="69"/>
    </row>
    <row r="14" spans="1:16" s="68" customFormat="1" ht="15.75" customHeight="1">
      <c r="A14" s="64">
        <v>2</v>
      </c>
      <c r="B14" s="65" t="s">
        <v>43</v>
      </c>
      <c r="C14" s="66">
        <v>4778603</v>
      </c>
      <c r="D14" s="66">
        <v>180797000</v>
      </c>
      <c r="E14" s="66">
        <v>147471000</v>
      </c>
      <c r="F14" s="67">
        <f t="shared" si="0"/>
        <v>38104603</v>
      </c>
      <c r="G14" s="65"/>
      <c r="L14" s="69"/>
      <c r="M14" s="69"/>
      <c r="N14" s="69"/>
      <c r="O14" s="69"/>
    </row>
    <row r="15" spans="1:16" s="68" customFormat="1" ht="17.25" customHeight="1">
      <c r="A15" s="64">
        <v>3</v>
      </c>
      <c r="B15" s="70" t="s">
        <v>107</v>
      </c>
      <c r="C15" s="66">
        <v>2445000</v>
      </c>
      <c r="D15" s="66">
        <v>23145000</v>
      </c>
      <c r="E15" s="66">
        <v>22000000</v>
      </c>
      <c r="F15" s="67">
        <f t="shared" si="0"/>
        <v>3590000</v>
      </c>
      <c r="G15" s="65"/>
      <c r="L15" s="69"/>
      <c r="M15" s="69"/>
      <c r="N15" s="69"/>
      <c r="O15" s="69"/>
      <c r="P15" s="71"/>
    </row>
    <row r="16" spans="1:16" s="68" customFormat="1" ht="17.25" customHeight="1">
      <c r="A16" s="64">
        <v>4</v>
      </c>
      <c r="B16" s="70" t="s">
        <v>61</v>
      </c>
      <c r="C16" s="66">
        <v>0</v>
      </c>
      <c r="D16" s="66">
        <v>108010000</v>
      </c>
      <c r="E16" s="66">
        <v>108010000</v>
      </c>
      <c r="F16" s="67">
        <f t="shared" si="0"/>
        <v>0</v>
      </c>
      <c r="G16" s="65"/>
      <c r="L16" s="69"/>
      <c r="M16" s="69"/>
      <c r="N16" s="69"/>
      <c r="O16" s="69"/>
      <c r="P16" s="71"/>
    </row>
    <row r="17" spans="1:16" s="68" customFormat="1" ht="17.25" customHeight="1">
      <c r="A17" s="64">
        <v>5</v>
      </c>
      <c r="B17" s="70" t="s">
        <v>44</v>
      </c>
      <c r="C17" s="66">
        <v>0</v>
      </c>
      <c r="D17" s="66">
        <v>222278000</v>
      </c>
      <c r="E17" s="66">
        <v>222278000</v>
      </c>
      <c r="F17" s="67">
        <f t="shared" si="0"/>
        <v>0</v>
      </c>
      <c r="G17" s="65"/>
      <c r="L17" s="69"/>
      <c r="M17" s="69"/>
      <c r="N17" s="69"/>
      <c r="O17" s="69"/>
      <c r="P17" s="71"/>
    </row>
    <row r="18" spans="1:16" s="68" customFormat="1" ht="17.25" customHeight="1">
      <c r="A18" s="64">
        <v>6</v>
      </c>
      <c r="B18" s="70" t="s">
        <v>45</v>
      </c>
      <c r="C18" s="66"/>
      <c r="D18" s="66">
        <v>868485240</v>
      </c>
      <c r="E18" s="66">
        <v>868485240</v>
      </c>
      <c r="F18" s="67">
        <f t="shared" si="0"/>
        <v>0</v>
      </c>
      <c r="G18" s="65"/>
      <c r="L18" s="69"/>
      <c r="M18" s="69"/>
      <c r="N18" s="69"/>
      <c r="O18" s="69"/>
      <c r="P18" s="71"/>
    </row>
    <row r="19" spans="1:16" s="68" customFormat="1" ht="17.25" customHeight="1">
      <c r="A19" s="64">
        <v>7</v>
      </c>
      <c r="B19" s="70" t="s">
        <v>108</v>
      </c>
      <c r="C19" s="66">
        <v>0</v>
      </c>
      <c r="D19" s="66">
        <v>192915000</v>
      </c>
      <c r="E19" s="66">
        <v>192915000</v>
      </c>
      <c r="F19" s="67">
        <f t="shared" si="0"/>
        <v>0</v>
      </c>
      <c r="G19" s="65"/>
      <c r="L19" s="69"/>
      <c r="M19" s="69"/>
      <c r="N19" s="69"/>
      <c r="O19" s="69"/>
      <c r="P19" s="71"/>
    </row>
    <row r="20" spans="1:16" s="68" customFormat="1" ht="17.25" customHeight="1">
      <c r="A20" s="64">
        <v>8</v>
      </c>
      <c r="B20" s="70" t="s">
        <v>109</v>
      </c>
      <c r="C20" s="66"/>
      <c r="D20" s="66">
        <v>197275000</v>
      </c>
      <c r="E20" s="66">
        <v>197275000</v>
      </c>
      <c r="F20" s="67">
        <f t="shared" si="0"/>
        <v>0</v>
      </c>
      <c r="G20" s="65"/>
      <c r="L20" s="69"/>
      <c r="M20" s="69"/>
      <c r="N20" s="69"/>
      <c r="O20" s="69"/>
      <c r="P20" s="71"/>
    </row>
    <row r="21" spans="1:16" s="61" customFormat="1" ht="15.75" customHeight="1">
      <c r="A21" s="64">
        <v>9</v>
      </c>
      <c r="B21" s="65" t="s">
        <v>134</v>
      </c>
      <c r="C21" s="74">
        <v>44550000</v>
      </c>
      <c r="D21" s="66">
        <v>38000000</v>
      </c>
      <c r="E21" s="74">
        <v>19650000</v>
      </c>
      <c r="F21" s="67">
        <f t="shared" si="0"/>
        <v>62900000</v>
      </c>
      <c r="G21" s="73"/>
      <c r="L21" s="75"/>
      <c r="M21" s="75"/>
      <c r="N21" s="75"/>
      <c r="O21" s="75"/>
    </row>
    <row r="22" spans="1:16" s="61" customFormat="1" ht="15.75" customHeight="1">
      <c r="A22" s="64">
        <v>10</v>
      </c>
      <c r="B22" s="65" t="s">
        <v>150</v>
      </c>
      <c r="C22" s="74"/>
      <c r="D22" s="66">
        <v>26243235</v>
      </c>
      <c r="E22" s="74">
        <v>9922000</v>
      </c>
      <c r="F22" s="67">
        <f t="shared" si="0"/>
        <v>16321235</v>
      </c>
      <c r="G22" s="73"/>
      <c r="L22" s="75"/>
      <c r="M22" s="75"/>
      <c r="N22" s="75"/>
      <c r="O22" s="75"/>
    </row>
    <row r="23" spans="1:16" s="61" customFormat="1" ht="15.75" customHeight="1">
      <c r="A23" s="72"/>
      <c r="B23" s="73" t="s">
        <v>105</v>
      </c>
      <c r="C23" s="74">
        <f>SUM(C13:C22)</f>
        <v>51773603</v>
      </c>
      <c r="D23" s="74">
        <f t="shared" ref="D23:F23" si="1">SUM(D13:D22)</f>
        <v>1878750475</v>
      </c>
      <c r="E23" s="74">
        <f t="shared" si="1"/>
        <v>1809608240</v>
      </c>
      <c r="F23" s="74">
        <f t="shared" si="1"/>
        <v>120915838</v>
      </c>
      <c r="G23" s="73"/>
      <c r="L23" s="75"/>
      <c r="M23" s="75"/>
      <c r="N23" s="75"/>
      <c r="O23" s="75"/>
    </row>
    <row r="24" spans="1:16" s="61" customFormat="1" ht="15.75" customHeight="1">
      <c r="A24" s="76"/>
      <c r="B24" s="77"/>
      <c r="C24" s="78"/>
      <c r="D24" s="78"/>
      <c r="E24" s="78"/>
      <c r="F24" s="78"/>
      <c r="G24" s="77"/>
      <c r="L24" s="75"/>
      <c r="M24" s="75"/>
      <c r="N24" s="75"/>
      <c r="O24" s="75"/>
    </row>
    <row r="25" spans="1:16" ht="15.75">
      <c r="B25" s="79"/>
      <c r="D25" s="123" t="s">
        <v>148</v>
      </c>
      <c r="E25" s="123"/>
      <c r="F25" s="123"/>
      <c r="G25" s="123"/>
    </row>
    <row r="26" spans="1:16">
      <c r="B26" s="80" t="s">
        <v>146</v>
      </c>
      <c r="E26" s="124" t="s">
        <v>147</v>
      </c>
      <c r="F26" s="124"/>
    </row>
    <row r="27" spans="1:16" ht="15.75">
      <c r="B27" s="62"/>
    </row>
  </sheetData>
  <mergeCells count="13">
    <mergeCell ref="D25:G25"/>
    <mergeCell ref="E26:F26"/>
    <mergeCell ref="A7:G7"/>
    <mergeCell ref="B2:G2"/>
    <mergeCell ref="A8:F8"/>
    <mergeCell ref="A9:F9"/>
    <mergeCell ref="A11:A12"/>
    <mergeCell ref="B11:B12"/>
    <mergeCell ref="C11:C12"/>
    <mergeCell ref="D11:D12"/>
    <mergeCell ref="E11:E12"/>
    <mergeCell ref="F11:F12"/>
    <mergeCell ref="G11:G12"/>
  </mergeCells>
  <pageMargins left="0" right="0" top="0.65" bottom="0.15748031496062992" header="0.46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D0264D-01EB-4531-8483-8A2F83FC3E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E03ED5-AE04-4236-BEE2-7BE1480B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B59EE4C-9619-46D8-8FE8-306FE19C126F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Bieu 2</vt:lpstr>
      <vt:lpstr>Bieu 3</vt:lpstr>
      <vt:lpstr>Bieu 4</vt:lpstr>
      <vt:lpstr>'Bieu 2'!Print_Titles</vt:lpstr>
      <vt:lpstr>'Bieu 3'!Print_Titles</vt:lpstr>
      <vt:lpstr>'Bieu 4'!Print_Titles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admin</cp:lastModifiedBy>
  <cp:lastPrinted>2019-07-15T01:31:35Z</cp:lastPrinted>
  <dcterms:created xsi:type="dcterms:W3CDTF">2016-10-14T10:52:32Z</dcterms:created>
  <dcterms:modified xsi:type="dcterms:W3CDTF">2021-08-08T02:34:31Z</dcterms:modified>
</cp:coreProperties>
</file>